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mc:AlternateContent xmlns:mc="http://schemas.openxmlformats.org/markup-compatibility/2006">
    <mc:Choice Requires="x15">
      <x15ac:absPath xmlns:x15ac="http://schemas.microsoft.com/office/spreadsheetml/2010/11/ac" url="https://townofmontaguema.sharepoint.com/sites/GRP_ACCOUNTING/Shared Documents/Files/Budgets/FY23 Budget/Website Info/"/>
    </mc:Choice>
  </mc:AlternateContent>
  <xr:revisionPtr revIDLastSave="0" documentId="8_{21978692-0CBA-440E-A812-FFB151EBC2D5}" xr6:coauthVersionLast="47" xr6:coauthVersionMax="47" xr10:uidLastSave="{00000000-0000-0000-0000-000000000000}"/>
  <bookViews>
    <workbookView xWindow="5760" yWindow="3396" windowWidth="17280" windowHeight="8964" firstSheet="2" activeTab="2" xr2:uid="{00000000-000D-0000-FFFF-FFFF00000000}"/>
  </bookViews>
  <sheets>
    <sheet name="To Do and Changes" sheetId="112" r:id="rId1"/>
    <sheet name="Est WPCF Rate Incr" sheetId="144" r:id="rId2"/>
    <sheet name="Revenue Projections Detail" sheetId="26" r:id="rId3"/>
    <sheet name="Affordable Assessment" sheetId="133" r:id="rId4"/>
    <sheet name="Financial Policy Numbers" sheetId="143" r:id="rId5"/>
    <sheet name="Working Budget with funding det" sheetId="66" r:id="rId6"/>
    <sheet name="Budget Summary" sheetId="167" r:id="rId7"/>
    <sheet name="113 Town Mtg" sheetId="29" r:id="rId8"/>
    <sheet name="122 Selectboard" sheetId="30" r:id="rId9"/>
    <sheet name="131 Fin Comm" sheetId="31" r:id="rId10"/>
    <sheet name="132 Reserve Fund" sheetId="32" r:id="rId11"/>
    <sheet name="135 Acct" sheetId="33" r:id="rId12"/>
    <sheet name="141 BOA" sheetId="34" r:id="rId13"/>
    <sheet name="145 Treas" sheetId="35" r:id="rId14"/>
    <sheet name="151 Counsel" sheetId="36" r:id="rId15"/>
    <sheet name="155 IT" sheetId="149" r:id="rId16"/>
    <sheet name="159 Shared Costs" sheetId="77" r:id="rId17"/>
    <sheet name="161 Clerk" sheetId="38" r:id="rId18"/>
    <sheet name="175 Planning" sheetId="40" r:id="rId19"/>
    <sheet name="176 ZBA" sheetId="41" r:id="rId20"/>
    <sheet name="182 MEDIC" sheetId="139" r:id="rId21"/>
    <sheet name="190 Publ Bldg Utilities" sheetId="87" r:id="rId22"/>
    <sheet name="211 Police" sheetId="43" r:id="rId23"/>
    <sheet name="212 Dispatch" sheetId="60" r:id="rId24"/>
    <sheet name="241 Bldg" sheetId="44" r:id="rId25"/>
    <sheet name="244 Sealer" sheetId="45" r:id="rId26"/>
    <sheet name="291 Emergency" sheetId="46" r:id="rId27"/>
    <sheet name="292 Animal" sheetId="47" r:id="rId28"/>
    <sheet name="294 Forest Warden" sheetId="48" r:id="rId29"/>
    <sheet name="299 Tree Warden" sheetId="86" r:id="rId30"/>
    <sheet name="300 Schools" sheetId="13" r:id="rId31"/>
    <sheet name="420 DPW" sheetId="15" r:id="rId32"/>
    <sheet name="192 Public Bldgs" sheetId="56" r:id="rId33"/>
    <sheet name="422 Maintenance" sheetId="17" r:id="rId34"/>
    <sheet name="652 Parks" sheetId="23" r:id="rId35"/>
    <sheet name="423 Snow" sheetId="18" r:id="rId36"/>
    <sheet name="433 Solid Waste" sheetId="22" r:id="rId37"/>
    <sheet name="480 Charging Stations" sheetId="165" r:id="rId38"/>
    <sheet name="491 Cemetery" sheetId="7" r:id="rId39"/>
    <sheet name="511 BOH" sheetId="8" r:id="rId40"/>
    <sheet name="541 COA" sheetId="9" r:id="rId41"/>
    <sheet name="543 Vets" sheetId="10" r:id="rId42"/>
    <sheet name="610 Library" sheetId="11" r:id="rId43"/>
    <sheet name="630 Recreation" sheetId="49" r:id="rId44"/>
    <sheet name="691 Historical Comm" sheetId="135" r:id="rId45"/>
    <sheet name="693 Memorials" sheetId="50" r:id="rId46"/>
    <sheet name="700 Debt " sheetId="51" r:id="rId47"/>
    <sheet name="840 Intergovt" sheetId="52" r:id="rId48"/>
    <sheet name="910 Benefits" sheetId="53" r:id="rId49"/>
    <sheet name="946 Insurance" sheetId="54" r:id="rId50"/>
    <sheet name="Colle 228 183" sheetId="93" r:id="rId51"/>
    <sheet name="600 482 Airport" sheetId="24" r:id="rId52"/>
    <sheet name="600-700 Airport Debt" sheetId="172" r:id="rId53"/>
    <sheet name="600-900 Airport Benefits" sheetId="171" r:id="rId54"/>
    <sheet name="661 440 WPCF" sheetId="12" r:id="rId55"/>
    <sheet name="661 449 Hwy" sheetId="5" r:id="rId56"/>
    <sheet name="661 700 WPCF Debt" sheetId="6" r:id="rId57"/>
    <sheet name="661 910 WPCF Benefits" sheetId="4" r:id="rId58"/>
    <sheet name="Tax share WPCF" sheetId="170" r:id="rId59"/>
    <sheet name="Overhead" sheetId="107" r:id="rId60"/>
    <sheet name="Debt Exclusion Calc." sheetId="2" r:id="rId61"/>
    <sheet name="Police Wages" sheetId="138" r:id="rId62"/>
    <sheet name="UE Wages" sheetId="161" r:id="rId63"/>
    <sheet name="NAGE &amp; Non-Union Wages" sheetId="141" r:id="rId64"/>
    <sheet name="Split Debt Service" sheetId="148" r:id="rId65"/>
    <sheet name="Combined Debt Schedule" sheetId="159" r:id="rId66"/>
    <sheet name="Kearsarge Lease" sheetId="158" r:id="rId67"/>
    <sheet name="Town Meeting Wages By Position" sheetId="137" r:id="rId68"/>
  </sheets>
  <definedNames>
    <definedName name="_xlnm.Print_Area" localSheetId="7">'113 Town Mtg'!$A$1:$P$38</definedName>
    <definedName name="_xlnm.Print_Area" localSheetId="8">'122 Selectboard'!$A$1:$P$69</definedName>
    <definedName name="_xlnm.Print_Area" localSheetId="9">'131 Fin Comm'!$A$1:$P$31</definedName>
    <definedName name="_xlnm.Print_Area" localSheetId="10">'132 Reserve Fund'!$A$1:$P$14</definedName>
    <definedName name="_xlnm.Print_Area" localSheetId="11">'135 Acct'!$A$1:$P$50</definedName>
    <definedName name="_xlnm.Print_Area" localSheetId="12">'141 BOA'!$A$2:$P$83</definedName>
    <definedName name="_xlnm.Print_Area" localSheetId="13">'145 Treas'!$A$1:$P$73</definedName>
    <definedName name="_xlnm.Print_Area" localSheetId="14">'151 Counsel'!$A$1:$P$22</definedName>
    <definedName name="_xlnm.Print_Area" localSheetId="15">'155 IT'!$A$1:$P$54</definedName>
    <definedName name="_xlnm.Print_Area" localSheetId="16">'159 Shared Costs'!$A$1:$P$39</definedName>
    <definedName name="_xlnm.Print_Area" localSheetId="17">'161 Clerk'!$A$1:$P$78</definedName>
    <definedName name="_xlnm.Print_Area" localSheetId="18">'175 Planning'!$A$1:$P$62</definedName>
    <definedName name="_xlnm.Print_Area" localSheetId="19">'176 ZBA'!$A$1:$P$29</definedName>
    <definedName name="_xlnm.Print_Area" localSheetId="20">'182 MEDIC'!$A$1:$P$28</definedName>
    <definedName name="_xlnm.Print_Area" localSheetId="21">'190 Publ Bldg Utilities'!$A$1:$P$73</definedName>
    <definedName name="_xlnm.Print_Area" localSheetId="32">'192 Public Bldgs'!$A$1:$P$41</definedName>
    <definedName name="_xlnm.Print_Area" localSheetId="22">'211 Police'!$A$9:$P$138</definedName>
    <definedName name="_xlnm.Print_Area" localSheetId="23">'212 Dispatch'!$A$1:$P$59</definedName>
    <definedName name="_xlnm.Print_Area" localSheetId="24">'241 Bldg'!$A$1:$P$65</definedName>
    <definedName name="_xlnm.Print_Area" localSheetId="25">'244 Sealer'!$A$1:$P$20</definedName>
    <definedName name="_xlnm.Print_Area" localSheetId="26">'291 Emergency'!$A$1:$P$28</definedName>
    <definedName name="_xlnm.Print_Area" localSheetId="27">'292 Animal'!$A$1:$P$36</definedName>
    <definedName name="_xlnm.Print_Area" localSheetId="28">'294 Forest Warden'!$A$1:$P$18</definedName>
    <definedName name="_xlnm.Print_Area" localSheetId="29">'299 Tree Warden'!$A$1:$P$30</definedName>
    <definedName name="_xlnm.Print_Area" localSheetId="30">'300 Schools'!$A$1:$P$19</definedName>
    <definedName name="_xlnm.Print_Area" localSheetId="31">'420 DPW'!$A$8:$P$95</definedName>
    <definedName name="_xlnm.Print_Area" localSheetId="33">'422 Maintenance'!$A$1:$P$100</definedName>
    <definedName name="_xlnm.Print_Area" localSheetId="35">'423 Snow'!$A$1:$P$32</definedName>
    <definedName name="_xlnm.Print_Area" localSheetId="36">'433 Solid Waste'!$A$1:$P$49</definedName>
    <definedName name="_xlnm.Print_Area" localSheetId="38">'491 Cemetery'!$A$1:$P$25</definedName>
    <definedName name="_xlnm.Print_Area" localSheetId="39">'511 BOH'!$A$1:$P$79</definedName>
    <definedName name="_xlnm.Print_Area" localSheetId="40">'541 COA'!$A$1:$P$50</definedName>
    <definedName name="_xlnm.Print_Area" localSheetId="41">'543 Vets'!$A$1:$P$24</definedName>
    <definedName name="_xlnm.Print_Area" localSheetId="51">'600 482 Airport'!$A$1:$P$89</definedName>
    <definedName name="_xlnm.Print_Area" localSheetId="52">'600-700 Airport Debt'!$A$1:$P$26</definedName>
    <definedName name="_xlnm.Print_Area" localSheetId="42">'610 Library'!$A$1:$P$99</definedName>
    <definedName name="_xlnm.Print_Area" localSheetId="43">'630 Recreation'!$A$1:$P$57</definedName>
    <definedName name="_xlnm.Print_Area" localSheetId="34">'652 Parks'!$A$1:$P$31</definedName>
    <definedName name="_xlnm.Print_Area" localSheetId="54">'661 440 WPCF'!$A$8:$P$134</definedName>
    <definedName name="_xlnm.Print_Area" localSheetId="55">'661 449 Hwy'!$A$1:$P$46</definedName>
    <definedName name="_xlnm.Print_Area" localSheetId="56">'661 700 WPCF Debt'!$A$8:$P$61</definedName>
    <definedName name="_xlnm.Print_Area" localSheetId="57">'661 910 WPCF Benefits'!$A$1:$P$34</definedName>
    <definedName name="_xlnm.Print_Area" localSheetId="44">'691 Historical Comm'!$A$1:$P$21</definedName>
    <definedName name="_xlnm.Print_Area" localSheetId="45">'693 Memorials'!$A$1:$P$21</definedName>
    <definedName name="_xlnm.Print_Area" localSheetId="46">'700 Debt '!$A$8:$P$64</definedName>
    <definedName name="_xlnm.Print_Area" localSheetId="47">'840 Intergovt'!$A$1:$P$29</definedName>
    <definedName name="_xlnm.Print_Area" localSheetId="48">'910 Benefits'!$A$1:$P$34</definedName>
    <definedName name="_xlnm.Print_Area" localSheetId="49">'946 Insurance'!$A$1:$P$30</definedName>
    <definedName name="_xlnm.Print_Area" localSheetId="3">'Affordable Assessment'!$A$9:$E$41</definedName>
    <definedName name="_xlnm.Print_Area" localSheetId="6">'Budget Summary'!$A$1:$C$37</definedName>
    <definedName name="_xlnm.Print_Area" localSheetId="50">'Colle 228 183'!$A$1:$P$49</definedName>
    <definedName name="_xlnm.Print_Area" localSheetId="65">'Combined Debt Schedule'!$D$4:$AG$45</definedName>
    <definedName name="_xlnm.Print_Area" localSheetId="1">'Est WPCF Rate Incr'!$A$1:$S$36</definedName>
    <definedName name="_xlnm.Print_Area" localSheetId="4">'Financial Policy Numbers'!$A$1:$H$124</definedName>
    <definedName name="_xlnm.Print_Area" localSheetId="63">'NAGE &amp; Non-Union Wages'!$A$1:$L$22</definedName>
    <definedName name="_xlnm.Print_Area" localSheetId="61">'Police Wages'!$A$1:$I$40</definedName>
    <definedName name="_xlnm.Print_Area" localSheetId="2">'Revenue Projections Detail'!$A$7:$L$90</definedName>
    <definedName name="_xlnm.Print_Area" localSheetId="67">'Town Meeting Wages By Position'!$A$5:$F$125</definedName>
    <definedName name="_xlnm.Print_Area" localSheetId="5">'Working Budget with funding det'!$M$5:$P$255</definedName>
    <definedName name="_xlnm.Print_Titles" localSheetId="32">'192 Public Bldgs'!$2:$7</definedName>
    <definedName name="_xlnm.Print_Titles" localSheetId="22">'211 Police'!$1:$7</definedName>
    <definedName name="_xlnm.Print_Titles" localSheetId="27">'292 Animal'!$2:$7</definedName>
    <definedName name="_xlnm.Print_Titles" localSheetId="31">'420 DPW'!$2:$8</definedName>
    <definedName name="_xlnm.Print_Titles" localSheetId="33">'422 Maintenance'!$2:$7</definedName>
    <definedName name="_xlnm.Print_Titles" localSheetId="54">'661 440 WPCF'!$1:$7</definedName>
    <definedName name="_xlnm.Print_Titles" localSheetId="56">'661 700 WPCF Debt'!$2:$7</definedName>
    <definedName name="_xlnm.Print_Titles" localSheetId="46">'700 Debt '!$A:$B,'700 Debt '!$1:$7</definedName>
    <definedName name="_xlnm.Print_Titles" localSheetId="65">'Combined Debt Schedule'!$B:$B,'Combined Debt Schedule'!$3:$3</definedName>
    <definedName name="_xlnm.Print_Titles" localSheetId="4">'Financial Policy Numbers'!$1:$1</definedName>
    <definedName name="_xlnm.Print_Titles" localSheetId="2">'Revenue Projections Detail'!$1:$4</definedName>
    <definedName name="_xlnm.Print_Titles" localSheetId="67">'Town Meeting Wages By Position'!$1:$4</definedName>
    <definedName name="_xlnm.Print_Titles" localSheetId="5">'Working Budget with funding det'!$A:$B,'Working Budget with funding det'!$1:$4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2" l="1"/>
  <c r="G28" i="2"/>
  <c r="G25" i="2"/>
  <c r="O9" i="8"/>
  <c r="P41" i="87"/>
  <c r="N52" i="66" s="1"/>
  <c r="P64" i="12"/>
  <c r="N200" i="66"/>
  <c r="N180" i="66"/>
  <c r="N162" i="66"/>
  <c r="O146" i="66"/>
  <c r="N146" i="66"/>
  <c r="E13" i="112"/>
  <c r="E14" i="112"/>
  <c r="E15" i="112"/>
  <c r="E16" i="112"/>
  <c r="M55" i="26" l="1"/>
  <c r="M28" i="26"/>
  <c r="Q16" i="12"/>
  <c r="Q12" i="11"/>
  <c r="Q11" i="11"/>
  <c r="Q37" i="11"/>
  <c r="Q36" i="11"/>
  <c r="Q35" i="11"/>
  <c r="Q34" i="11"/>
  <c r="Q33" i="11"/>
  <c r="Q32" i="11"/>
  <c r="Q31" i="11"/>
  <c r="Q30" i="11"/>
  <c r="Q29" i="11"/>
  <c r="Q28" i="11"/>
  <c r="Q27" i="11"/>
  <c r="Q26" i="11"/>
  <c r="Q25" i="11"/>
  <c r="Q24" i="11"/>
  <c r="Q23" i="11"/>
  <c r="Q22" i="11"/>
  <c r="Q21" i="11"/>
  <c r="Q20" i="11"/>
  <c r="Q19" i="11"/>
  <c r="Q18" i="11"/>
  <c r="Q17" i="11"/>
  <c r="Q16" i="11"/>
  <c r="Q38" i="11"/>
  <c r="B34" i="167"/>
  <c r="J34" i="167" s="1"/>
  <c r="D34" i="167" s="1"/>
  <c r="B26" i="167"/>
  <c r="O15" i="52"/>
  <c r="L8" i="26"/>
  <c r="K12" i="26"/>
  <c r="D102" i="143"/>
  <c r="C34" i="143"/>
  <c r="N186" i="66"/>
  <c r="Q187" i="66"/>
  <c r="N187" i="66"/>
  <c r="B33" i="167" s="1"/>
  <c r="J33" i="167" s="1"/>
  <c r="D33" i="167" s="1"/>
  <c r="Q186" i="66"/>
  <c r="O46" i="43"/>
  <c r="O32" i="43"/>
  <c r="M236" i="66" l="1"/>
  <c r="L63" i="26" s="1"/>
  <c r="N236" i="66" l="1"/>
  <c r="B32" i="167" s="1"/>
  <c r="J32" i="167" s="1"/>
  <c r="D32" i="167" s="1"/>
  <c r="B18" i="167" l="1"/>
  <c r="O11" i="18"/>
  <c r="O9" i="13"/>
  <c r="C33" i="143"/>
  <c r="N54" i="26" l="1"/>
  <c r="M31" i="143" l="1"/>
  <c r="M30" i="143"/>
  <c r="N222" i="66" l="1"/>
  <c r="L28" i="26" l="1"/>
  <c r="O41" i="43"/>
  <c r="D26" i="167"/>
  <c r="B35" i="167" l="1"/>
  <c r="O180" i="66" l="1"/>
  <c r="O82" i="26"/>
  <c r="N91" i="66" l="1"/>
  <c r="N64" i="66"/>
  <c r="N61" i="66"/>
  <c r="O10" i="23" l="1"/>
  <c r="O11" i="49"/>
  <c r="R256" i="66"/>
  <c r="C4" i="141" l="1"/>
  <c r="L74" i="26" l="1"/>
  <c r="H3" i="167" s="1"/>
  <c r="L73" i="38" l="1"/>
  <c r="N73" i="38" s="1"/>
  <c r="K73" i="38"/>
  <c r="L24" i="7"/>
  <c r="M73" i="38" l="1"/>
  <c r="L46" i="26"/>
  <c r="K111" i="12" l="1"/>
  <c r="K110" i="12"/>
  <c r="K109" i="12"/>
  <c r="N11" i="12"/>
  <c r="N13" i="40"/>
  <c r="N25" i="33"/>
  <c r="I27" i="167" l="1"/>
  <c r="B27" i="167"/>
  <c r="A27" i="167"/>
  <c r="M34" i="12" l="1"/>
  <c r="O34" i="12"/>
  <c r="M35" i="12"/>
  <c r="O35" i="12"/>
  <c r="M36" i="12"/>
  <c r="O36" i="12"/>
  <c r="L132" i="12"/>
  <c r="K132" i="12"/>
  <c r="B132" i="12"/>
  <c r="A132" i="12"/>
  <c r="L131" i="12"/>
  <c r="K131" i="12"/>
  <c r="B131" i="12"/>
  <c r="A131" i="12"/>
  <c r="L130" i="12"/>
  <c r="K130" i="12"/>
  <c r="B130" i="12"/>
  <c r="A130" i="12"/>
  <c r="L129" i="12"/>
  <c r="K129" i="12"/>
  <c r="B129" i="12"/>
  <c r="A129" i="12"/>
  <c r="K128" i="12"/>
  <c r="B128" i="12"/>
  <c r="A128" i="12"/>
  <c r="L127" i="12"/>
  <c r="K127" i="12"/>
  <c r="B127" i="12"/>
  <c r="A127" i="12"/>
  <c r="L126" i="12"/>
  <c r="K126" i="12"/>
  <c r="B126" i="12"/>
  <c r="A126" i="12"/>
  <c r="L125" i="12"/>
  <c r="K125" i="12"/>
  <c r="B125" i="12"/>
  <c r="A125" i="12"/>
  <c r="L124" i="12"/>
  <c r="K124" i="12"/>
  <c r="B124" i="12"/>
  <c r="A124" i="12"/>
  <c r="L123" i="12"/>
  <c r="K123" i="12"/>
  <c r="B123" i="12"/>
  <c r="A123" i="12"/>
  <c r="L122" i="12"/>
  <c r="K122" i="12"/>
  <c r="B122" i="12"/>
  <c r="A122" i="12"/>
  <c r="L121" i="12"/>
  <c r="K121" i="12"/>
  <c r="B121" i="12"/>
  <c r="A121" i="12"/>
  <c r="L120" i="12"/>
  <c r="B120" i="12"/>
  <c r="A120" i="12"/>
  <c r="L119" i="12"/>
  <c r="B119" i="12"/>
  <c r="A119" i="12"/>
  <c r="L118" i="12"/>
  <c r="K118" i="12"/>
  <c r="B118" i="12"/>
  <c r="A118" i="12"/>
  <c r="L117" i="12"/>
  <c r="K117" i="12"/>
  <c r="B117" i="12"/>
  <c r="A117" i="12"/>
  <c r="L116" i="12"/>
  <c r="K116" i="12"/>
  <c r="B116" i="12"/>
  <c r="A116" i="12"/>
  <c r="L115" i="12"/>
  <c r="K115" i="12"/>
  <c r="B115" i="12"/>
  <c r="A115" i="12"/>
  <c r="L114" i="12"/>
  <c r="B114" i="12"/>
  <c r="A114" i="12"/>
  <c r="L113" i="12"/>
  <c r="K113" i="12"/>
  <c r="B113" i="12"/>
  <c r="A113" i="12"/>
  <c r="L112" i="12"/>
  <c r="K112" i="12"/>
  <c r="B112" i="12"/>
  <c r="A112" i="12"/>
  <c r="L111" i="12"/>
  <c r="B111" i="12"/>
  <c r="A111" i="12"/>
  <c r="L110" i="12"/>
  <c r="B110" i="12"/>
  <c r="A110" i="12"/>
  <c r="L109" i="12"/>
  <c r="B109" i="12"/>
  <c r="A109" i="12"/>
  <c r="L108" i="12"/>
  <c r="K108" i="12"/>
  <c r="B108" i="12"/>
  <c r="A108" i="12"/>
  <c r="L107" i="12"/>
  <c r="K107" i="12"/>
  <c r="B107" i="12"/>
  <c r="A107" i="12"/>
  <c r="L106" i="12"/>
  <c r="K106" i="12"/>
  <c r="B106" i="12"/>
  <c r="A106" i="12"/>
  <c r="L105" i="12"/>
  <c r="K105" i="12"/>
  <c r="B105" i="12"/>
  <c r="A105" i="12"/>
  <c r="L104" i="12"/>
  <c r="K104" i="12"/>
  <c r="B104" i="12"/>
  <c r="A104" i="12"/>
  <c r="L103" i="12"/>
  <c r="K103" i="12"/>
  <c r="B103" i="12"/>
  <c r="A103" i="12"/>
  <c r="L102" i="12"/>
  <c r="K102" i="12"/>
  <c r="B102" i="12"/>
  <c r="A102" i="12"/>
  <c r="L101" i="12"/>
  <c r="K101" i="12"/>
  <c r="B101" i="12"/>
  <c r="A101" i="12"/>
  <c r="L100" i="12"/>
  <c r="K100" i="12"/>
  <c r="B100" i="12"/>
  <c r="A100" i="12"/>
  <c r="L99" i="12"/>
  <c r="K99" i="12"/>
  <c r="B99" i="12"/>
  <c r="A99" i="12"/>
  <c r="L98" i="12"/>
  <c r="K98" i="12"/>
  <c r="B98" i="12"/>
  <c r="A98" i="12"/>
  <c r="L97" i="12"/>
  <c r="K97" i="12"/>
  <c r="B97" i="12"/>
  <c r="A97" i="12"/>
  <c r="L96" i="12"/>
  <c r="K96" i="12"/>
  <c r="B96" i="12"/>
  <c r="A96" i="12"/>
  <c r="L95" i="12"/>
  <c r="K95" i="12"/>
  <c r="B95" i="12"/>
  <c r="A95" i="12"/>
  <c r="L94" i="12"/>
  <c r="K94" i="12"/>
  <c r="B94" i="12"/>
  <c r="A94" i="12"/>
  <c r="M116" i="12" l="1"/>
  <c r="M124" i="12"/>
  <c r="N124" i="12" s="1"/>
  <c r="N101" i="12"/>
  <c r="M129" i="12"/>
  <c r="N129" i="12" s="1"/>
  <c r="M131" i="12"/>
  <c r="N131" i="12" s="1"/>
  <c r="M94" i="12"/>
  <c r="N94" i="12" s="1"/>
  <c r="N100" i="12"/>
  <c r="M107" i="12"/>
  <c r="N107" i="12" s="1"/>
  <c r="M112" i="12"/>
  <c r="M96" i="12"/>
  <c r="N96" i="12" s="1"/>
  <c r="M98" i="12"/>
  <c r="N98" i="12" s="1"/>
  <c r="M95" i="12"/>
  <c r="N95" i="12" s="1"/>
  <c r="M99" i="12"/>
  <c r="N99" i="12" s="1"/>
  <c r="M103" i="12"/>
  <c r="N103" i="12" s="1"/>
  <c r="M111" i="12"/>
  <c r="N111" i="12" s="1"/>
  <c r="N116" i="12"/>
  <c r="N112" i="12"/>
  <c r="M102" i="12"/>
  <c r="N102" i="12" s="1"/>
  <c r="M126" i="12"/>
  <c r="N126" i="12" s="1"/>
  <c r="M130" i="12"/>
  <c r="N130" i="12" s="1"/>
  <c r="M108" i="12"/>
  <c r="N108" i="12" s="1"/>
  <c r="M100" i="12"/>
  <c r="M109" i="12"/>
  <c r="N109" i="12" s="1"/>
  <c r="M104" i="12"/>
  <c r="N104" i="12" s="1"/>
  <c r="M106" i="12"/>
  <c r="N106" i="12" s="1"/>
  <c r="M101" i="12"/>
  <c r="M110" i="12"/>
  <c r="N110" i="12" s="1"/>
  <c r="M121" i="12"/>
  <c r="N121" i="12" s="1"/>
  <c r="M105" i="12"/>
  <c r="N105" i="12" s="1"/>
  <c r="M118" i="12"/>
  <c r="N118" i="12" s="1"/>
  <c r="M125" i="12"/>
  <c r="N125" i="12" s="1"/>
  <c r="M127" i="12"/>
  <c r="N127" i="12" s="1"/>
  <c r="M113" i="12"/>
  <c r="N113" i="12" s="1"/>
  <c r="M122" i="12"/>
  <c r="N122" i="12" s="1"/>
  <c r="M117" i="12"/>
  <c r="N117" i="12" s="1"/>
  <c r="M97" i="12"/>
  <c r="N97" i="12" s="1"/>
  <c r="M132" i="12"/>
  <c r="N132" i="12" s="1"/>
  <c r="M115" i="12"/>
  <c r="N115" i="12" s="1"/>
  <c r="M123" i="12"/>
  <c r="N123" i="12" s="1"/>
  <c r="L28" i="31" l="1"/>
  <c r="K28" i="31"/>
  <c r="L73" i="34"/>
  <c r="M73" i="34" s="1"/>
  <c r="K73" i="34"/>
  <c r="N73" i="34" s="1"/>
  <c r="M28" i="31" l="1"/>
  <c r="N28" i="31" s="1"/>
  <c r="N224" i="66" l="1"/>
  <c r="P224" i="66" l="1"/>
  <c r="L83" i="11" l="1"/>
  <c r="K83" i="11"/>
  <c r="L82" i="11"/>
  <c r="K82" i="11"/>
  <c r="N82" i="11" s="1"/>
  <c r="L48" i="40"/>
  <c r="M48" i="40" s="1"/>
  <c r="K48" i="40"/>
  <c r="N48" i="40" s="1"/>
  <c r="M82" i="11" l="1"/>
  <c r="L47" i="149"/>
  <c r="M47" i="149" s="1"/>
  <c r="K47" i="149"/>
  <c r="O16" i="172"/>
  <c r="O15" i="172"/>
  <c r="N47" i="149" l="1"/>
  <c r="K46" i="26" l="1"/>
  <c r="C38" i="170" l="1"/>
  <c r="P12" i="167"/>
  <c r="P20" i="167" s="1"/>
  <c r="A31" i="167"/>
  <c r="A29" i="167"/>
  <c r="A28" i="167"/>
  <c r="A25" i="167"/>
  <c r="A24" i="167"/>
  <c r="A23" i="167"/>
  <c r="P37" i="167" l="1"/>
  <c r="P38" i="167" s="1"/>
  <c r="P21" i="167"/>
  <c r="P13" i="167"/>
  <c r="N155" i="66"/>
  <c r="B24" i="167" s="1"/>
  <c r="N154" i="66"/>
  <c r="B23" i="167" s="1"/>
  <c r="N234" i="66"/>
  <c r="N215" i="66"/>
  <c r="N223" i="66"/>
  <c r="B28" i="167"/>
  <c r="N167" i="66"/>
  <c r="U233" i="66" l="1"/>
  <c r="R214" i="66"/>
  <c r="B25" i="167"/>
  <c r="O215" i="66"/>
  <c r="U234" i="66"/>
  <c r="M31" i="167" s="1"/>
  <c r="L60" i="26"/>
  <c r="M20" i="66" s="1"/>
  <c r="B31" i="167"/>
  <c r="N35" i="167"/>
  <c r="P222" i="66"/>
  <c r="H28" i="167" s="1"/>
  <c r="R223" i="66"/>
  <c r="I29" i="167" s="1"/>
  <c r="B29" i="167"/>
  <c r="R154" i="66"/>
  <c r="I23" i="167" s="1"/>
  <c r="P155" i="66"/>
  <c r="H24" i="167" s="1"/>
  <c r="L83" i="26"/>
  <c r="L32" i="144"/>
  <c r="N20" i="66" l="1"/>
  <c r="U20" i="66" s="1"/>
  <c r="D35" i="167"/>
  <c r="D29" i="167"/>
  <c r="K16" i="144" l="1"/>
  <c r="D32" i="133" l="1"/>
  <c r="O10" i="172"/>
  <c r="O9" i="172"/>
  <c r="AS18" i="172"/>
  <c r="AR18" i="172"/>
  <c r="AR21" i="172" s="1"/>
  <c r="AQ18" i="172"/>
  <c r="AQ21" i="172" s="1"/>
  <c r="AP18" i="172"/>
  <c r="AO18" i="172"/>
  <c r="AN18" i="172"/>
  <c r="AM18" i="172"/>
  <c r="AL18" i="172"/>
  <c r="AK18" i="172"/>
  <c r="AJ18" i="172"/>
  <c r="AJ21" i="172" s="1"/>
  <c r="AI18" i="172"/>
  <c r="AI21" i="172" s="1"/>
  <c r="AH18" i="172"/>
  <c r="AG18" i="172"/>
  <c r="AF18" i="172"/>
  <c r="AE18" i="172"/>
  <c r="AD18" i="172"/>
  <c r="AC18" i="172"/>
  <c r="AB18" i="172"/>
  <c r="AA18" i="172"/>
  <c r="Z18" i="172"/>
  <c r="Y18" i="172"/>
  <c r="X18" i="172"/>
  <c r="W18" i="172"/>
  <c r="V18" i="172"/>
  <c r="U18" i="172"/>
  <c r="T18" i="172"/>
  <c r="S18" i="172"/>
  <c r="R18" i="172"/>
  <c r="AS12" i="172"/>
  <c r="AS21" i="172" s="1"/>
  <c r="AR12" i="172"/>
  <c r="AQ12" i="172"/>
  <c r="AP12" i="172"/>
  <c r="AO12" i="172"/>
  <c r="AN12" i="172"/>
  <c r="AN21" i="172" s="1"/>
  <c r="AM12" i="172"/>
  <c r="AL12" i="172"/>
  <c r="AK12" i="172"/>
  <c r="AK21" i="172" s="1"/>
  <c r="AJ12" i="172"/>
  <c r="AI12" i="172"/>
  <c r="AH12" i="172"/>
  <c r="AG12" i="172"/>
  <c r="AF12" i="172"/>
  <c r="AF21" i="172" s="1"/>
  <c r="AE12" i="172"/>
  <c r="AD12" i="172"/>
  <c r="AD21" i="172" s="1"/>
  <c r="AC12" i="172"/>
  <c r="AB12" i="172"/>
  <c r="AA12" i="172"/>
  <c r="Z12" i="172"/>
  <c r="Y12" i="172"/>
  <c r="X12" i="172"/>
  <c r="X21" i="172" s="1"/>
  <c r="W12" i="172"/>
  <c r="V12" i="172"/>
  <c r="U12" i="172"/>
  <c r="T12" i="172"/>
  <c r="S12" i="172"/>
  <c r="R12" i="172"/>
  <c r="AV54" i="51"/>
  <c r="AV29" i="51"/>
  <c r="O29" i="51"/>
  <c r="O54" i="51"/>
  <c r="AV28" i="51"/>
  <c r="AV53" i="51"/>
  <c r="O53" i="51"/>
  <c r="O28" i="51"/>
  <c r="G20" i="2" s="1"/>
  <c r="I20" i="2" s="1"/>
  <c r="AL21" i="172" l="1"/>
  <c r="AM21" i="172"/>
  <c r="AG21" i="172"/>
  <c r="AO21" i="172"/>
  <c r="AH21" i="172"/>
  <c r="AP21" i="172"/>
  <c r="V21" i="172"/>
  <c r="AB21" i="172"/>
  <c r="AA21" i="172"/>
  <c r="T21" i="172"/>
  <c r="AC21" i="172"/>
  <c r="U21" i="172"/>
  <c r="AE21" i="172"/>
  <c r="Z21" i="172"/>
  <c r="Y21" i="172"/>
  <c r="W21" i="172"/>
  <c r="S21" i="172"/>
  <c r="R21" i="172"/>
  <c r="L41" i="33" l="1"/>
  <c r="K41" i="33"/>
  <c r="N41" i="33" s="1"/>
  <c r="L14" i="141"/>
  <c r="K14" i="141"/>
  <c r="J14" i="141"/>
  <c r="I14" i="141"/>
  <c r="H14" i="141"/>
  <c r="G14" i="141"/>
  <c r="F14" i="141"/>
  <c r="E14" i="141"/>
  <c r="D14" i="141"/>
  <c r="C14" i="141"/>
  <c r="L13" i="141"/>
  <c r="K13" i="141"/>
  <c r="N68" i="43" s="1"/>
  <c r="J13" i="141"/>
  <c r="I13" i="141"/>
  <c r="H13" i="141"/>
  <c r="G13" i="141"/>
  <c r="F13" i="141"/>
  <c r="E13" i="141"/>
  <c r="D13" i="141"/>
  <c r="C13" i="141"/>
  <c r="N43" i="30" s="1"/>
  <c r="L12" i="141"/>
  <c r="K12" i="141"/>
  <c r="J12" i="141"/>
  <c r="I12" i="141"/>
  <c r="H12" i="141"/>
  <c r="G12" i="141"/>
  <c r="F12" i="141"/>
  <c r="E12" i="141"/>
  <c r="D12" i="141"/>
  <c r="C12" i="141"/>
  <c r="L10" i="141"/>
  <c r="L11" i="141" s="1"/>
  <c r="K10" i="141"/>
  <c r="K11" i="141" s="1"/>
  <c r="J10" i="141"/>
  <c r="J11" i="141" s="1"/>
  <c r="I10" i="141"/>
  <c r="I11" i="141" s="1"/>
  <c r="H10" i="141"/>
  <c r="G10" i="141"/>
  <c r="G11" i="141" s="1"/>
  <c r="F10" i="141"/>
  <c r="E10" i="141"/>
  <c r="D10" i="141"/>
  <c r="C10" i="141"/>
  <c r="L9" i="141"/>
  <c r="K9" i="141"/>
  <c r="J9" i="141"/>
  <c r="I9" i="141"/>
  <c r="H9" i="141"/>
  <c r="G9" i="141"/>
  <c r="F9" i="141"/>
  <c r="E9" i="141"/>
  <c r="D9" i="141"/>
  <c r="C9" i="141"/>
  <c r="H11" i="141"/>
  <c r="L8" i="141"/>
  <c r="K8" i="141"/>
  <c r="J8" i="141"/>
  <c r="I8" i="141"/>
  <c r="H8" i="141"/>
  <c r="G8" i="141"/>
  <c r="F8" i="141"/>
  <c r="E8" i="141"/>
  <c r="D8" i="141"/>
  <c r="C8" i="141"/>
  <c r="L7" i="141"/>
  <c r="K7" i="141"/>
  <c r="L40" i="60" s="1"/>
  <c r="J7" i="141"/>
  <c r="L48" i="24" s="1"/>
  <c r="I7" i="141"/>
  <c r="H7" i="141"/>
  <c r="L38" i="60" s="1"/>
  <c r="G7" i="141"/>
  <c r="F7" i="141"/>
  <c r="E7" i="141"/>
  <c r="D7" i="141"/>
  <c r="L41" i="60" s="1"/>
  <c r="N41" i="60" s="1"/>
  <c r="D60" i="137" s="1"/>
  <c r="C7" i="141"/>
  <c r="L81" i="12" s="1"/>
  <c r="L6" i="141"/>
  <c r="K6" i="141"/>
  <c r="J6" i="141"/>
  <c r="I6" i="141"/>
  <c r="H6" i="141"/>
  <c r="G6" i="141"/>
  <c r="F6" i="141"/>
  <c r="E6" i="141"/>
  <c r="D6" i="141"/>
  <c r="C6" i="141"/>
  <c r="L5" i="141"/>
  <c r="K5" i="141"/>
  <c r="J5" i="141"/>
  <c r="I5" i="141"/>
  <c r="H5" i="141"/>
  <c r="G5" i="141"/>
  <c r="F5" i="141"/>
  <c r="E5" i="141"/>
  <c r="D5" i="141"/>
  <c r="C5" i="141"/>
  <c r="L45" i="30" s="1"/>
  <c r="N45" i="30" s="1"/>
  <c r="L4" i="141"/>
  <c r="K4" i="141"/>
  <c r="J4" i="141"/>
  <c r="I4" i="141"/>
  <c r="H4" i="141"/>
  <c r="G4" i="141"/>
  <c r="F4" i="141"/>
  <c r="E4" i="141"/>
  <c r="D4" i="141"/>
  <c r="L57" i="11" s="1"/>
  <c r="K9" i="161"/>
  <c r="J9" i="161"/>
  <c r="I9" i="161"/>
  <c r="H9" i="161"/>
  <c r="G9" i="161"/>
  <c r="F9" i="161"/>
  <c r="E9" i="161"/>
  <c r="D9" i="161"/>
  <c r="C9" i="161"/>
  <c r="K8" i="161"/>
  <c r="J8" i="161"/>
  <c r="I8" i="161"/>
  <c r="L79" i="15" s="1"/>
  <c r="H8" i="161"/>
  <c r="G8" i="161"/>
  <c r="F8" i="161"/>
  <c r="E8" i="161"/>
  <c r="D8" i="161"/>
  <c r="C8" i="161"/>
  <c r="K7" i="161"/>
  <c r="J7" i="161"/>
  <c r="I7" i="161"/>
  <c r="H7" i="161"/>
  <c r="G7" i="161"/>
  <c r="F7" i="161"/>
  <c r="E7" i="161"/>
  <c r="D7" i="161"/>
  <c r="C7" i="161"/>
  <c r="K6" i="161"/>
  <c r="J6" i="161"/>
  <c r="I6" i="161"/>
  <c r="H6" i="161"/>
  <c r="G6" i="161"/>
  <c r="F6" i="161"/>
  <c r="E6" i="161"/>
  <c r="D6" i="161"/>
  <c r="C6" i="161"/>
  <c r="K5" i="161"/>
  <c r="J5" i="161"/>
  <c r="I5" i="161"/>
  <c r="H5" i="161"/>
  <c r="G5" i="161"/>
  <c r="F5" i="161"/>
  <c r="E5" i="161"/>
  <c r="D5" i="161"/>
  <c r="C5" i="161"/>
  <c r="B9" i="161"/>
  <c r="B8" i="161"/>
  <c r="B7" i="161"/>
  <c r="B6" i="161"/>
  <c r="B5" i="161"/>
  <c r="I10" i="138"/>
  <c r="H10" i="138"/>
  <c r="G10" i="138"/>
  <c r="F10" i="138"/>
  <c r="I9" i="138"/>
  <c r="H9" i="138"/>
  <c r="G9" i="138"/>
  <c r="L85" i="43" s="1"/>
  <c r="N85" i="43" s="1"/>
  <c r="D38" i="137" s="1"/>
  <c r="F9" i="138"/>
  <c r="I7" i="138"/>
  <c r="H7" i="138"/>
  <c r="G7" i="138"/>
  <c r="F7" i="138"/>
  <c r="E7" i="138"/>
  <c r="D7" i="138"/>
  <c r="C7" i="138"/>
  <c r="I6" i="138"/>
  <c r="H6" i="138"/>
  <c r="G6" i="138"/>
  <c r="F6" i="138"/>
  <c r="E6" i="138"/>
  <c r="D6" i="138"/>
  <c r="C6" i="138"/>
  <c r="B7" i="138"/>
  <c r="B6" i="138"/>
  <c r="L101" i="17"/>
  <c r="K32" i="4"/>
  <c r="K31" i="4"/>
  <c r="K30" i="4"/>
  <c r="K29" i="4"/>
  <c r="K28" i="4"/>
  <c r="K45" i="5"/>
  <c r="K44" i="5"/>
  <c r="K43" i="5"/>
  <c r="K42" i="5"/>
  <c r="K41" i="5"/>
  <c r="K40" i="5"/>
  <c r="K39" i="5"/>
  <c r="K38" i="5"/>
  <c r="K37" i="5"/>
  <c r="K36" i="5"/>
  <c r="K35" i="5"/>
  <c r="K34" i="5"/>
  <c r="L93" i="12"/>
  <c r="L92" i="12"/>
  <c r="K93" i="12"/>
  <c r="K92" i="12"/>
  <c r="K91" i="12"/>
  <c r="K90" i="12"/>
  <c r="K89" i="12"/>
  <c r="K33" i="171"/>
  <c r="K32" i="171"/>
  <c r="K31" i="171"/>
  <c r="K30" i="171"/>
  <c r="K29" i="171"/>
  <c r="K28" i="171"/>
  <c r="L89" i="24"/>
  <c r="L88" i="24"/>
  <c r="L87" i="24"/>
  <c r="L86" i="24"/>
  <c r="K91" i="24"/>
  <c r="L69" i="24"/>
  <c r="L68" i="24"/>
  <c r="L67" i="24"/>
  <c r="L66" i="24"/>
  <c r="L82" i="24"/>
  <c r="L81" i="24"/>
  <c r="L80" i="24"/>
  <c r="L79" i="24"/>
  <c r="L78" i="24"/>
  <c r="L73" i="24"/>
  <c r="L71" i="24"/>
  <c r="K69" i="24"/>
  <c r="K89" i="24"/>
  <c r="K88" i="24"/>
  <c r="K87" i="24"/>
  <c r="K86" i="24"/>
  <c r="K82" i="24"/>
  <c r="K81" i="24"/>
  <c r="K80" i="24"/>
  <c r="K79" i="24"/>
  <c r="K78" i="24"/>
  <c r="K73" i="24"/>
  <c r="K68" i="24"/>
  <c r="K67" i="24"/>
  <c r="K66" i="24"/>
  <c r="K64" i="24"/>
  <c r="K65" i="24"/>
  <c r="K49" i="93"/>
  <c r="K48" i="93"/>
  <c r="K47" i="93"/>
  <c r="K46" i="93"/>
  <c r="K45" i="93"/>
  <c r="K44" i="93"/>
  <c r="K43" i="93"/>
  <c r="K42" i="93"/>
  <c r="K41" i="93"/>
  <c r="K40" i="93"/>
  <c r="K39" i="93"/>
  <c r="K38" i="93"/>
  <c r="K37" i="93"/>
  <c r="K36" i="93"/>
  <c r="J30" i="54"/>
  <c r="K34" i="53"/>
  <c r="K33" i="53"/>
  <c r="K32" i="53"/>
  <c r="K31" i="53"/>
  <c r="K30" i="53"/>
  <c r="K29" i="53"/>
  <c r="K28" i="53"/>
  <c r="K29" i="52"/>
  <c r="K28" i="52"/>
  <c r="K27" i="52"/>
  <c r="K25" i="52"/>
  <c r="K21" i="50"/>
  <c r="K20" i="50"/>
  <c r="K21" i="135"/>
  <c r="K51" i="49"/>
  <c r="K53" i="49"/>
  <c r="K52" i="49"/>
  <c r="K54" i="49"/>
  <c r="K55" i="49"/>
  <c r="K57" i="49"/>
  <c r="K56" i="49"/>
  <c r="K49" i="49"/>
  <c r="K48" i="49"/>
  <c r="K47" i="49"/>
  <c r="K46" i="49"/>
  <c r="K99" i="11"/>
  <c r="K98" i="11"/>
  <c r="K97" i="11"/>
  <c r="K96" i="11"/>
  <c r="K95" i="11"/>
  <c r="K94" i="11"/>
  <c r="K93" i="11"/>
  <c r="K92" i="11"/>
  <c r="K91" i="11"/>
  <c r="K90" i="11"/>
  <c r="K89" i="11"/>
  <c r="K88" i="11"/>
  <c r="K87" i="11"/>
  <c r="K86" i="11"/>
  <c r="K85" i="11"/>
  <c r="K84" i="11"/>
  <c r="K81" i="11"/>
  <c r="K80" i="11"/>
  <c r="K79" i="11"/>
  <c r="K78" i="11"/>
  <c r="K77" i="11"/>
  <c r="K76" i="11"/>
  <c r="K75" i="11"/>
  <c r="K74" i="11"/>
  <c r="K73" i="11"/>
  <c r="K72" i="11"/>
  <c r="J24" i="10"/>
  <c r="J23" i="10"/>
  <c r="J22" i="10"/>
  <c r="K50" i="9"/>
  <c r="K49" i="9"/>
  <c r="K48" i="9"/>
  <c r="K47" i="9"/>
  <c r="K46" i="9"/>
  <c r="K45" i="9"/>
  <c r="K44" i="9"/>
  <c r="K43" i="9"/>
  <c r="K42" i="9"/>
  <c r="K41" i="9"/>
  <c r="K40" i="9"/>
  <c r="K39" i="9"/>
  <c r="K38" i="9"/>
  <c r="K79" i="8"/>
  <c r="K78" i="8"/>
  <c r="K77" i="8"/>
  <c r="K76" i="8"/>
  <c r="K75" i="8"/>
  <c r="K74" i="8"/>
  <c r="K73" i="8"/>
  <c r="K72" i="8"/>
  <c r="K71" i="8"/>
  <c r="K70" i="8"/>
  <c r="K69" i="8"/>
  <c r="K68" i="8"/>
  <c r="K66" i="8"/>
  <c r="K65" i="8"/>
  <c r="K64" i="8"/>
  <c r="K63" i="8"/>
  <c r="K62" i="8"/>
  <c r="K61" i="8"/>
  <c r="K60" i="8"/>
  <c r="K59" i="8"/>
  <c r="K58" i="8"/>
  <c r="K57" i="8"/>
  <c r="K24" i="7"/>
  <c r="M24" i="7" s="1"/>
  <c r="N24" i="7" s="1"/>
  <c r="K23" i="7"/>
  <c r="K24" i="165"/>
  <c r="K23" i="165"/>
  <c r="K22" i="165"/>
  <c r="K21" i="165"/>
  <c r="K35" i="22"/>
  <c r="K47" i="22"/>
  <c r="K46" i="22"/>
  <c r="K45" i="22"/>
  <c r="K44" i="22"/>
  <c r="K43" i="22"/>
  <c r="K42" i="22"/>
  <c r="K41" i="22"/>
  <c r="K40" i="22"/>
  <c r="K39" i="22"/>
  <c r="K38" i="22"/>
  <c r="K37" i="22"/>
  <c r="K36" i="22"/>
  <c r="K32" i="18"/>
  <c r="K31" i="18"/>
  <c r="K30" i="18"/>
  <c r="K29" i="18"/>
  <c r="K27" i="18"/>
  <c r="K26" i="18"/>
  <c r="K31" i="23"/>
  <c r="K30" i="23"/>
  <c r="K29" i="23"/>
  <c r="K28" i="23"/>
  <c r="K27" i="23"/>
  <c r="K26" i="23"/>
  <c r="M50" i="17"/>
  <c r="K101" i="17"/>
  <c r="K100" i="17"/>
  <c r="K99" i="17"/>
  <c r="K98" i="17"/>
  <c r="K97" i="17"/>
  <c r="K96" i="17"/>
  <c r="K95" i="17"/>
  <c r="K94" i="17"/>
  <c r="K93" i="17"/>
  <c r="K92" i="17"/>
  <c r="K91" i="17"/>
  <c r="K90" i="17"/>
  <c r="K89" i="17"/>
  <c r="K88" i="17"/>
  <c r="K87" i="17"/>
  <c r="K86" i="17"/>
  <c r="K85" i="17"/>
  <c r="K84" i="17"/>
  <c r="K83" i="17"/>
  <c r="K82" i="17"/>
  <c r="K81" i="17"/>
  <c r="K80" i="17"/>
  <c r="K79" i="17"/>
  <c r="K78" i="17"/>
  <c r="K77" i="17"/>
  <c r="K76" i="17"/>
  <c r="K75" i="17"/>
  <c r="K74" i="17"/>
  <c r="K73" i="17"/>
  <c r="K72" i="17"/>
  <c r="K71" i="17"/>
  <c r="K70" i="17"/>
  <c r="K69" i="17"/>
  <c r="K68" i="17"/>
  <c r="K67" i="17"/>
  <c r="K66" i="17"/>
  <c r="K65" i="17"/>
  <c r="K64" i="17"/>
  <c r="K63" i="17"/>
  <c r="K41" i="56"/>
  <c r="K40" i="56"/>
  <c r="K39" i="56"/>
  <c r="K38" i="56"/>
  <c r="K37" i="56"/>
  <c r="K36" i="56"/>
  <c r="K35" i="56"/>
  <c r="K34" i="56"/>
  <c r="K33" i="56"/>
  <c r="K32" i="56"/>
  <c r="K30" i="86"/>
  <c r="K29" i="86"/>
  <c r="K28" i="86"/>
  <c r="K27" i="86"/>
  <c r="K26" i="86"/>
  <c r="K25" i="86"/>
  <c r="K18" i="48"/>
  <c r="K35" i="47"/>
  <c r="K34" i="47"/>
  <c r="K33" i="47"/>
  <c r="K32" i="47"/>
  <c r="K31" i="47"/>
  <c r="K30" i="47"/>
  <c r="K29" i="47"/>
  <c r="L26" i="46"/>
  <c r="K26" i="46"/>
  <c r="K65" i="44"/>
  <c r="K64" i="44"/>
  <c r="K63" i="44"/>
  <c r="K62" i="44"/>
  <c r="K61" i="44"/>
  <c r="K60" i="44"/>
  <c r="K59" i="44"/>
  <c r="K58" i="44"/>
  <c r="K57" i="44"/>
  <c r="K56" i="44"/>
  <c r="K55" i="44"/>
  <c r="K54" i="44"/>
  <c r="K53" i="44"/>
  <c r="K52" i="44"/>
  <c r="K51" i="44"/>
  <c r="K50" i="44"/>
  <c r="K49" i="44"/>
  <c r="K48" i="44"/>
  <c r="K59" i="60"/>
  <c r="K58" i="60"/>
  <c r="K57" i="60"/>
  <c r="K56" i="60"/>
  <c r="K55" i="60"/>
  <c r="K54" i="60"/>
  <c r="K53" i="60"/>
  <c r="K52" i="60"/>
  <c r="K51" i="60"/>
  <c r="K50" i="60"/>
  <c r="K48" i="60"/>
  <c r="K47" i="60"/>
  <c r="K46" i="60"/>
  <c r="L104" i="43"/>
  <c r="L103" i="43"/>
  <c r="K110" i="43"/>
  <c r="K109" i="43"/>
  <c r="K108" i="43"/>
  <c r="K107" i="43"/>
  <c r="K106" i="43"/>
  <c r="K105" i="43"/>
  <c r="K104" i="43"/>
  <c r="K103" i="43"/>
  <c r="K136" i="43"/>
  <c r="K135" i="43"/>
  <c r="K123" i="43"/>
  <c r="K122" i="43"/>
  <c r="K119" i="43"/>
  <c r="K118" i="43"/>
  <c r="K117" i="43"/>
  <c r="K116" i="43"/>
  <c r="K115" i="43"/>
  <c r="K114" i="43"/>
  <c r="K113" i="43"/>
  <c r="K112" i="43"/>
  <c r="K111" i="43"/>
  <c r="K134" i="43"/>
  <c r="K133" i="43"/>
  <c r="K132" i="43"/>
  <c r="K130" i="43"/>
  <c r="K129" i="43"/>
  <c r="K128" i="43"/>
  <c r="K127" i="43"/>
  <c r="K126" i="43"/>
  <c r="K125" i="43"/>
  <c r="K124" i="43"/>
  <c r="K102" i="43"/>
  <c r="K101" i="43"/>
  <c r="K100" i="43"/>
  <c r="K99" i="43"/>
  <c r="K98" i="43"/>
  <c r="K97" i="43"/>
  <c r="K96" i="43"/>
  <c r="K95" i="43"/>
  <c r="K94" i="43"/>
  <c r="K93" i="43"/>
  <c r="K92" i="43"/>
  <c r="K73" i="87"/>
  <c r="K72" i="87"/>
  <c r="K71" i="87"/>
  <c r="K70" i="87"/>
  <c r="K69" i="87"/>
  <c r="K68" i="87"/>
  <c r="K67" i="87"/>
  <c r="K66" i="87"/>
  <c r="K65" i="87"/>
  <c r="K64" i="87"/>
  <c r="K63" i="87"/>
  <c r="K62" i="87"/>
  <c r="K61" i="87"/>
  <c r="K60" i="87"/>
  <c r="K59" i="87"/>
  <c r="K58" i="87"/>
  <c r="K57" i="87"/>
  <c r="K56" i="87"/>
  <c r="K55" i="87"/>
  <c r="K54" i="87"/>
  <c r="K53" i="87"/>
  <c r="K52" i="87"/>
  <c r="K51" i="87"/>
  <c r="K50" i="87"/>
  <c r="K49" i="87"/>
  <c r="K28" i="139"/>
  <c r="K26" i="139"/>
  <c r="K29" i="41"/>
  <c r="K28" i="41"/>
  <c r="K27" i="41"/>
  <c r="K26" i="41"/>
  <c r="K25" i="41"/>
  <c r="K24" i="41"/>
  <c r="K49" i="40"/>
  <c r="K62" i="40"/>
  <c r="K61" i="40"/>
  <c r="K60" i="40"/>
  <c r="K59" i="40"/>
  <c r="K58" i="40"/>
  <c r="K57" i="40"/>
  <c r="K56" i="40"/>
  <c r="K55" i="40"/>
  <c r="K54" i="40"/>
  <c r="K53" i="40"/>
  <c r="K51" i="40"/>
  <c r="K50" i="40"/>
  <c r="K47" i="40"/>
  <c r="K46" i="40"/>
  <c r="K45" i="40"/>
  <c r="K78" i="38"/>
  <c r="K77" i="38"/>
  <c r="K76" i="38"/>
  <c r="K75" i="38"/>
  <c r="K74" i="38"/>
  <c r="K72" i="38"/>
  <c r="K71" i="38"/>
  <c r="K70" i="38"/>
  <c r="K69" i="38"/>
  <c r="K68" i="38"/>
  <c r="K67" i="38"/>
  <c r="K66" i="38"/>
  <c r="K65" i="38"/>
  <c r="K64" i="38"/>
  <c r="K62" i="38"/>
  <c r="K63" i="38"/>
  <c r="K60" i="38"/>
  <c r="K59" i="38"/>
  <c r="K58" i="38"/>
  <c r="K57" i="38"/>
  <c r="K39" i="77"/>
  <c r="K38" i="77"/>
  <c r="K36" i="77"/>
  <c r="K35" i="77"/>
  <c r="K34" i="77"/>
  <c r="K33" i="77"/>
  <c r="K32" i="77"/>
  <c r="K31" i="77"/>
  <c r="K30" i="77"/>
  <c r="K29" i="77"/>
  <c r="K49" i="149"/>
  <c r="K48" i="149"/>
  <c r="K46" i="149"/>
  <c r="K45" i="149"/>
  <c r="K44" i="149"/>
  <c r="K43" i="149"/>
  <c r="K42" i="149"/>
  <c r="K41" i="149"/>
  <c r="K40" i="149"/>
  <c r="K39" i="149"/>
  <c r="K22" i="36"/>
  <c r="K21" i="36"/>
  <c r="K73" i="35"/>
  <c r="K72" i="35"/>
  <c r="K71" i="35"/>
  <c r="K70" i="35"/>
  <c r="K69" i="35"/>
  <c r="K68" i="35"/>
  <c r="K67" i="35"/>
  <c r="K66" i="35"/>
  <c r="K65" i="35"/>
  <c r="K64" i="35"/>
  <c r="K63" i="35"/>
  <c r="K62" i="35"/>
  <c r="K60" i="35"/>
  <c r="K59" i="35"/>
  <c r="K58" i="35"/>
  <c r="K57" i="35"/>
  <c r="K56" i="35"/>
  <c r="K55" i="35"/>
  <c r="K54" i="35"/>
  <c r="K81" i="34"/>
  <c r="K80" i="34"/>
  <c r="K79" i="34"/>
  <c r="K78" i="34"/>
  <c r="K77" i="34"/>
  <c r="K76" i="34"/>
  <c r="K75" i="34"/>
  <c r="K74" i="34"/>
  <c r="K72" i="34"/>
  <c r="K71" i="34"/>
  <c r="K70" i="34"/>
  <c r="K69" i="34"/>
  <c r="K68" i="34"/>
  <c r="K67" i="34"/>
  <c r="K66" i="34"/>
  <c r="K65" i="34"/>
  <c r="K64" i="34"/>
  <c r="K63" i="34"/>
  <c r="K62" i="34"/>
  <c r="K61" i="34"/>
  <c r="K60" i="34"/>
  <c r="K59" i="34"/>
  <c r="K58" i="34"/>
  <c r="K57" i="34"/>
  <c r="K50" i="33"/>
  <c r="K49" i="33"/>
  <c r="K48" i="33"/>
  <c r="K47" i="33"/>
  <c r="K46" i="33"/>
  <c r="K45" i="33"/>
  <c r="K44" i="33"/>
  <c r="K43" i="33"/>
  <c r="K42" i="33"/>
  <c r="K40" i="33"/>
  <c r="K39" i="33"/>
  <c r="K37" i="33"/>
  <c r="K31" i="31"/>
  <c r="K30" i="31"/>
  <c r="K29" i="31"/>
  <c r="K27" i="31"/>
  <c r="K26" i="31"/>
  <c r="K25" i="31"/>
  <c r="K69" i="30"/>
  <c r="K68" i="30"/>
  <c r="K67" i="30"/>
  <c r="K66" i="30"/>
  <c r="K65" i="30"/>
  <c r="K64" i="30"/>
  <c r="K63" i="30"/>
  <c r="K62" i="30"/>
  <c r="K61" i="30"/>
  <c r="K60" i="30"/>
  <c r="K59" i="30"/>
  <c r="K58" i="30"/>
  <c r="K57" i="30"/>
  <c r="K56" i="30"/>
  <c r="K55" i="30"/>
  <c r="K54" i="30"/>
  <c r="K53" i="30"/>
  <c r="K52" i="30"/>
  <c r="K51" i="30"/>
  <c r="K50" i="30"/>
  <c r="K38" i="29"/>
  <c r="K37" i="29"/>
  <c r="K36" i="29"/>
  <c r="K35" i="29"/>
  <c r="K34" i="29"/>
  <c r="K33" i="29"/>
  <c r="K32" i="29"/>
  <c r="K31" i="29"/>
  <c r="K30" i="29"/>
  <c r="K29" i="29"/>
  <c r="K30" i="139" l="1"/>
  <c r="K31" i="41"/>
  <c r="D9" i="137"/>
  <c r="O9" i="30"/>
  <c r="M41" i="33"/>
  <c r="K103" i="17"/>
  <c r="K32" i="86"/>
  <c r="M69" i="24"/>
  <c r="N69" i="24" s="1"/>
  <c r="L78" i="12" l="1"/>
  <c r="L88" i="15"/>
  <c r="L87" i="15"/>
  <c r="L86" i="15"/>
  <c r="L85" i="15"/>
  <c r="L84" i="15"/>
  <c r="L83" i="15"/>
  <c r="L82" i="15"/>
  <c r="L81" i="15"/>
  <c r="L80" i="15"/>
  <c r="L78" i="15"/>
  <c r="L77" i="15"/>
  <c r="L76" i="15"/>
  <c r="L75" i="15"/>
  <c r="L74" i="15"/>
  <c r="L23" i="26" l="1"/>
  <c r="K24" i="26"/>
  <c r="K25" i="26" s="1"/>
  <c r="N24" i="26"/>
  <c r="N25" i="26" s="1"/>
  <c r="L24" i="26" l="1"/>
  <c r="L25" i="26"/>
  <c r="L11" i="12" l="1"/>
  <c r="L28" i="12"/>
  <c r="M9" i="8"/>
  <c r="K56" i="8" s="1"/>
  <c r="L54" i="15"/>
  <c r="L26" i="43"/>
  <c r="L11" i="149"/>
  <c r="L16" i="34"/>
  <c r="N145" i="66"/>
  <c r="L12" i="66"/>
  <c r="L21" i="66"/>
  <c r="L19" i="66"/>
  <c r="L25" i="66"/>
  <c r="L27" i="66"/>
  <c r="L26" i="66"/>
  <c r="L24" i="66"/>
  <c r="L23" i="66"/>
  <c r="L18" i="66"/>
  <c r="L17" i="66"/>
  <c r="L11" i="66"/>
  <c r="L9" i="66"/>
  <c r="K95" i="26"/>
  <c r="K98" i="26" s="1"/>
  <c r="K84" i="26"/>
  <c r="K74" i="26"/>
  <c r="K76" i="26" s="1"/>
  <c r="K28" i="26"/>
  <c r="L7" i="66" s="1"/>
  <c r="L15" i="66" l="1"/>
  <c r="K96" i="26"/>
  <c r="K39" i="26"/>
  <c r="K99" i="26"/>
  <c r="K102" i="26" s="1"/>
  <c r="K101" i="26"/>
  <c r="K48" i="26"/>
  <c r="K53" i="26" l="1"/>
  <c r="K104" i="26"/>
  <c r="K54" i="26" l="1"/>
  <c r="L8" i="66" s="1"/>
  <c r="L15" i="4"/>
  <c r="L18" i="4" s="1"/>
  <c r="O54" i="6"/>
  <c r="O53" i="6"/>
  <c r="O52" i="6"/>
  <c r="O51" i="6"/>
  <c r="O50" i="6"/>
  <c r="O49" i="6"/>
  <c r="O48" i="6"/>
  <c r="O45" i="6"/>
  <c r="O44" i="6"/>
  <c r="O43" i="6"/>
  <c r="O36" i="6"/>
  <c r="O35" i="6"/>
  <c r="O34" i="6"/>
  <c r="O33" i="6"/>
  <c r="O27" i="6"/>
  <c r="O26" i="6"/>
  <c r="O25" i="6"/>
  <c r="O24" i="6"/>
  <c r="O23" i="6"/>
  <c r="O22" i="6"/>
  <c r="O21" i="6"/>
  <c r="O20" i="6"/>
  <c r="O19" i="6"/>
  <c r="O18" i="6"/>
  <c r="O17" i="6"/>
  <c r="O12" i="6"/>
  <c r="O11" i="6"/>
  <c r="O10" i="6"/>
  <c r="O9" i="6"/>
  <c r="M59" i="6"/>
  <c r="L59" i="6"/>
  <c r="M56" i="6"/>
  <c r="L56" i="6"/>
  <c r="M29" i="6"/>
  <c r="L29" i="6"/>
  <c r="M12" i="5"/>
  <c r="M25" i="5"/>
  <c r="L25" i="5"/>
  <c r="M22" i="5"/>
  <c r="L22" i="5"/>
  <c r="L12" i="5"/>
  <c r="N59" i="12"/>
  <c r="K59" i="12"/>
  <c r="J59" i="12"/>
  <c r="M45" i="12"/>
  <c r="K120" i="12" s="1"/>
  <c r="M44" i="12"/>
  <c r="K119" i="12" s="1"/>
  <c r="M39" i="12"/>
  <c r="K114" i="12" s="1"/>
  <c r="L59" i="12"/>
  <c r="M14" i="12"/>
  <c r="L14" i="12"/>
  <c r="M15" i="171"/>
  <c r="M18" i="171" s="1"/>
  <c r="L15" i="171"/>
  <c r="L18" i="171" s="1"/>
  <c r="M12" i="172"/>
  <c r="M18" i="172"/>
  <c r="L18" i="172"/>
  <c r="L21" i="172" s="1"/>
  <c r="L12" i="172"/>
  <c r="M38" i="24"/>
  <c r="K90" i="24" s="1"/>
  <c r="M32" i="24"/>
  <c r="K85" i="24" s="1"/>
  <c r="M31" i="24"/>
  <c r="K84" i="24" s="1"/>
  <c r="M30" i="24"/>
  <c r="K83" i="24" s="1"/>
  <c r="M24" i="24"/>
  <c r="K77" i="24" s="1"/>
  <c r="M23" i="24"/>
  <c r="M22" i="24"/>
  <c r="K75" i="24" s="1"/>
  <c r="M21" i="24"/>
  <c r="K74" i="24" s="1"/>
  <c r="M19" i="24"/>
  <c r="K72" i="24" s="1"/>
  <c r="M17" i="24"/>
  <c r="K70" i="24" s="1"/>
  <c r="M15" i="24"/>
  <c r="L40" i="24"/>
  <c r="L15" i="24"/>
  <c r="M26" i="93"/>
  <c r="M20" i="93"/>
  <c r="L26" i="93"/>
  <c r="L20" i="93"/>
  <c r="M20" i="54"/>
  <c r="L20" i="54"/>
  <c r="M18" i="53"/>
  <c r="M20" i="53" s="1"/>
  <c r="L18" i="53"/>
  <c r="L20" i="53" s="1"/>
  <c r="M10" i="52"/>
  <c r="K26" i="52" s="1"/>
  <c r="L15" i="52"/>
  <c r="O59" i="51"/>
  <c r="O52" i="51"/>
  <c r="O51" i="51"/>
  <c r="O50" i="51"/>
  <c r="O49" i="51"/>
  <c r="O48" i="51"/>
  <c r="O47" i="51"/>
  <c r="O46" i="51"/>
  <c r="O45" i="51"/>
  <c r="O44" i="51"/>
  <c r="O43" i="51"/>
  <c r="O36" i="51"/>
  <c r="O27" i="51"/>
  <c r="O26" i="51"/>
  <c r="O25" i="51"/>
  <c r="O24" i="51"/>
  <c r="O23" i="51"/>
  <c r="O22" i="51"/>
  <c r="O21" i="51"/>
  <c r="O20" i="51"/>
  <c r="O19" i="51"/>
  <c r="O18" i="51"/>
  <c r="O17" i="51"/>
  <c r="O12" i="51"/>
  <c r="M61" i="51"/>
  <c r="L61" i="51"/>
  <c r="M56" i="51"/>
  <c r="L56" i="51"/>
  <c r="M31" i="51"/>
  <c r="L31" i="51"/>
  <c r="M11" i="50"/>
  <c r="L11" i="50"/>
  <c r="L14" i="50" s="1"/>
  <c r="M12" i="135"/>
  <c r="M15" i="135" s="1"/>
  <c r="L12" i="135"/>
  <c r="L15" i="135" s="1"/>
  <c r="K91" i="66" s="1"/>
  <c r="M15" i="49"/>
  <c r="K50" i="49" s="1"/>
  <c r="L27" i="49"/>
  <c r="M13" i="49"/>
  <c r="L13" i="49"/>
  <c r="M42" i="11"/>
  <c r="L42" i="11"/>
  <c r="M39" i="11"/>
  <c r="L39" i="11"/>
  <c r="M15" i="11"/>
  <c r="L15" i="11"/>
  <c r="M12" i="10"/>
  <c r="M15" i="10" s="1"/>
  <c r="L12" i="10"/>
  <c r="L15" i="10" s="1"/>
  <c r="M24" i="9"/>
  <c r="L24" i="9"/>
  <c r="M11" i="9"/>
  <c r="L11" i="9"/>
  <c r="M22" i="8"/>
  <c r="L22" i="8"/>
  <c r="M37" i="8"/>
  <c r="L37" i="8"/>
  <c r="M15" i="7"/>
  <c r="K25" i="7" s="1"/>
  <c r="L15" i="7"/>
  <c r="M12" i="7"/>
  <c r="L12" i="7"/>
  <c r="M13" i="165"/>
  <c r="L13" i="165"/>
  <c r="L15" i="165" s="1"/>
  <c r="M25" i="22"/>
  <c r="L25" i="22"/>
  <c r="O12" i="18"/>
  <c r="M13" i="22"/>
  <c r="L13" i="22"/>
  <c r="M11" i="18"/>
  <c r="M18" i="18"/>
  <c r="L18" i="18"/>
  <c r="L12" i="18"/>
  <c r="M27" i="5" l="1"/>
  <c r="M27" i="22"/>
  <c r="L91" i="66"/>
  <c r="K92" i="66"/>
  <c r="K100" i="66"/>
  <c r="K84" i="66"/>
  <c r="M14" i="50"/>
  <c r="M15" i="52"/>
  <c r="K75" i="66"/>
  <c r="L84" i="66"/>
  <c r="M15" i="165"/>
  <c r="K115" i="66"/>
  <c r="K134" i="12"/>
  <c r="K103" i="66"/>
  <c r="L103" i="66"/>
  <c r="N114" i="12"/>
  <c r="M114" i="12"/>
  <c r="N119" i="12"/>
  <c r="M119" i="12"/>
  <c r="N120" i="12"/>
  <c r="M120" i="12"/>
  <c r="M14" i="4"/>
  <c r="K33" i="4" s="1"/>
  <c r="L27" i="5"/>
  <c r="K113" i="66" s="1"/>
  <c r="M22" i="54"/>
  <c r="L104" i="66"/>
  <c r="M21" i="172"/>
  <c r="M59" i="12"/>
  <c r="M12" i="18"/>
  <c r="K28" i="18"/>
  <c r="M27" i="49"/>
  <c r="M40" i="24"/>
  <c r="K76" i="24"/>
  <c r="M61" i="6"/>
  <c r="L61" i="6"/>
  <c r="L42" i="24"/>
  <c r="K120" i="66" s="1"/>
  <c r="L30" i="93"/>
  <c r="M30" i="93"/>
  <c r="K70" i="26" s="1"/>
  <c r="L22" i="54"/>
  <c r="K104" i="66"/>
  <c r="L29" i="49"/>
  <c r="L44" i="11"/>
  <c r="L26" i="9"/>
  <c r="L39" i="8"/>
  <c r="L17" i="7"/>
  <c r="L27" i="22"/>
  <c r="L20" i="18"/>
  <c r="L64" i="12"/>
  <c r="M42" i="24"/>
  <c r="L64" i="51"/>
  <c r="M64" i="51"/>
  <c r="M44" i="11"/>
  <c r="M26" i="9"/>
  <c r="M39" i="8"/>
  <c r="M17" i="7"/>
  <c r="L18" i="23"/>
  <c r="L13" i="23"/>
  <c r="M18" i="23"/>
  <c r="M20" i="23" s="1"/>
  <c r="M13" i="23"/>
  <c r="M16" i="17"/>
  <c r="M53" i="17"/>
  <c r="L53" i="17"/>
  <c r="L50" i="17"/>
  <c r="L16" i="17"/>
  <c r="M22" i="56"/>
  <c r="L22" i="56"/>
  <c r="L24" i="56" s="1"/>
  <c r="M12" i="56"/>
  <c r="L12" i="56"/>
  <c r="M57" i="15"/>
  <c r="L57" i="15"/>
  <c r="M53" i="15"/>
  <c r="L53" i="15"/>
  <c r="M52" i="15"/>
  <c r="L52" i="15"/>
  <c r="M51" i="15"/>
  <c r="L51" i="15"/>
  <c r="M50" i="15"/>
  <c r="L50" i="15"/>
  <c r="M49" i="15"/>
  <c r="L49" i="15"/>
  <c r="M48" i="15"/>
  <c r="L48" i="15"/>
  <c r="M47" i="15"/>
  <c r="L47" i="15"/>
  <c r="M46" i="15"/>
  <c r="L46" i="15"/>
  <c r="M45" i="15"/>
  <c r="L45" i="15"/>
  <c r="M44" i="15"/>
  <c r="L44" i="15"/>
  <c r="M43" i="15"/>
  <c r="L43" i="15"/>
  <c r="M42" i="15"/>
  <c r="L42" i="15"/>
  <c r="M41" i="15"/>
  <c r="L41" i="15"/>
  <c r="M40" i="15"/>
  <c r="L40" i="15"/>
  <c r="M39" i="15"/>
  <c r="L39" i="15"/>
  <c r="M38" i="15"/>
  <c r="L38" i="15"/>
  <c r="M37" i="15"/>
  <c r="L37" i="15"/>
  <c r="M36" i="15"/>
  <c r="L36" i="15"/>
  <c r="M35" i="15"/>
  <c r="L35" i="15"/>
  <c r="M34" i="15"/>
  <c r="L34" i="15"/>
  <c r="M33" i="15"/>
  <c r="L33" i="15"/>
  <c r="M32" i="15"/>
  <c r="L32" i="15"/>
  <c r="M31" i="15"/>
  <c r="L31" i="15"/>
  <c r="M30" i="15"/>
  <c r="L30" i="15"/>
  <c r="M29" i="15"/>
  <c r="L29" i="15"/>
  <c r="M28" i="15"/>
  <c r="L28" i="15"/>
  <c r="M27" i="15"/>
  <c r="L27" i="15"/>
  <c r="M26" i="15"/>
  <c r="L26" i="15"/>
  <c r="M25" i="15"/>
  <c r="L25" i="15"/>
  <c r="M24" i="15"/>
  <c r="L24" i="15"/>
  <c r="M23" i="15"/>
  <c r="L23" i="15"/>
  <c r="M22" i="15"/>
  <c r="L22" i="15"/>
  <c r="M21" i="15"/>
  <c r="L21" i="15"/>
  <c r="M20" i="15"/>
  <c r="L20" i="15"/>
  <c r="M19" i="15"/>
  <c r="L19" i="15"/>
  <c r="M16" i="15"/>
  <c r="L16" i="15"/>
  <c r="M15" i="15"/>
  <c r="L15" i="15"/>
  <c r="M14" i="15"/>
  <c r="L14" i="15"/>
  <c r="M13" i="15"/>
  <c r="L13" i="15"/>
  <c r="M12" i="15"/>
  <c r="L12" i="15"/>
  <c r="M11" i="15"/>
  <c r="L11" i="15"/>
  <c r="M10" i="15"/>
  <c r="L10" i="15"/>
  <c r="M9" i="15"/>
  <c r="L9" i="15"/>
  <c r="M9" i="13"/>
  <c r="M11" i="13" s="1"/>
  <c r="L127" i="66" s="1"/>
  <c r="M14" i="13"/>
  <c r="L128" i="66" s="1"/>
  <c r="L14" i="13"/>
  <c r="K128" i="66" s="1"/>
  <c r="L11" i="13"/>
  <c r="K127" i="66" s="1"/>
  <c r="M10" i="86"/>
  <c r="M17" i="86"/>
  <c r="L17" i="86"/>
  <c r="L19" i="86" s="1"/>
  <c r="L10" i="86"/>
  <c r="M10" i="48"/>
  <c r="L10" i="48"/>
  <c r="L12" i="48" s="1"/>
  <c r="M19" i="47"/>
  <c r="L64" i="66" s="1"/>
  <c r="L19" i="47"/>
  <c r="K64" i="66" s="1"/>
  <c r="M16" i="47"/>
  <c r="L16" i="47"/>
  <c r="K63" i="66" s="1"/>
  <c r="M14" i="46"/>
  <c r="L14" i="46"/>
  <c r="M10" i="46"/>
  <c r="L10" i="46"/>
  <c r="M10" i="45"/>
  <c r="L10" i="45"/>
  <c r="L12" i="45" s="1"/>
  <c r="M32" i="44"/>
  <c r="L32" i="44"/>
  <c r="M19" i="44"/>
  <c r="L19" i="44"/>
  <c r="M11" i="60"/>
  <c r="K49" i="60" s="1"/>
  <c r="M24" i="60"/>
  <c r="L24" i="60"/>
  <c r="M19" i="60"/>
  <c r="L19" i="60"/>
  <c r="M48" i="43"/>
  <c r="M57" i="43"/>
  <c r="L57" i="43"/>
  <c r="L54" i="43"/>
  <c r="M28" i="43"/>
  <c r="L28" i="43"/>
  <c r="M39" i="87"/>
  <c r="L39" i="87"/>
  <c r="L41" i="87" s="1"/>
  <c r="N10" i="139"/>
  <c r="M14" i="139"/>
  <c r="L14" i="139"/>
  <c r="M10" i="139"/>
  <c r="L10" i="139"/>
  <c r="M15" i="41"/>
  <c r="L15" i="41"/>
  <c r="L18" i="41" s="1"/>
  <c r="M29" i="40"/>
  <c r="L29" i="40"/>
  <c r="M13" i="40"/>
  <c r="L13" i="40"/>
  <c r="M13" i="38"/>
  <c r="M36" i="38"/>
  <c r="L36" i="38"/>
  <c r="L18" i="38"/>
  <c r="M17" i="77"/>
  <c r="K37" i="77" s="1"/>
  <c r="L21" i="77"/>
  <c r="M24" i="149"/>
  <c r="L24" i="149"/>
  <c r="M11" i="149"/>
  <c r="M12" i="36"/>
  <c r="L12" i="36"/>
  <c r="L15" i="36" s="1"/>
  <c r="M16" i="35"/>
  <c r="L16" i="35"/>
  <c r="M31" i="35"/>
  <c r="L31" i="35"/>
  <c r="M40" i="34"/>
  <c r="L43" i="66" s="1"/>
  <c r="L40" i="34"/>
  <c r="K43" i="66" s="1"/>
  <c r="M37" i="34"/>
  <c r="L37" i="34"/>
  <c r="M16" i="34"/>
  <c r="M25" i="33"/>
  <c r="L25" i="33"/>
  <c r="M11" i="33"/>
  <c r="L11" i="33"/>
  <c r="M11" i="32"/>
  <c r="L11" i="32"/>
  <c r="L14" i="32" s="1"/>
  <c r="M16" i="31"/>
  <c r="L16" i="31"/>
  <c r="L19" i="31" s="1"/>
  <c r="M19" i="30"/>
  <c r="M34" i="30"/>
  <c r="L34" i="30"/>
  <c r="L19" i="30"/>
  <c r="M21" i="29"/>
  <c r="L21" i="29"/>
  <c r="M10" i="29"/>
  <c r="L10" i="29"/>
  <c r="C40" i="143"/>
  <c r="K33" i="143"/>
  <c r="M19" i="141"/>
  <c r="M18" i="141"/>
  <c r="M21" i="77" l="1"/>
  <c r="L106" i="66"/>
  <c r="K106" i="66"/>
  <c r="L23" i="77"/>
  <c r="K47" i="66" s="1"/>
  <c r="M17" i="139"/>
  <c r="K66" i="66"/>
  <c r="L97" i="66"/>
  <c r="K114" i="66"/>
  <c r="M23" i="77"/>
  <c r="M19" i="86"/>
  <c r="K97" i="66"/>
  <c r="L114" i="66"/>
  <c r="L27" i="144"/>
  <c r="K52" i="66"/>
  <c r="L63" i="66"/>
  <c r="K45" i="66"/>
  <c r="K50" i="66"/>
  <c r="M41" i="87"/>
  <c r="K61" i="66"/>
  <c r="K40" i="66"/>
  <c r="M15" i="36"/>
  <c r="M18" i="41"/>
  <c r="M12" i="45"/>
  <c r="L76" i="66"/>
  <c r="K73" i="66"/>
  <c r="L75" i="66"/>
  <c r="L100" i="66"/>
  <c r="L74" i="66"/>
  <c r="M14" i="32"/>
  <c r="K65" i="66"/>
  <c r="L58" i="15"/>
  <c r="K72" i="66" s="1"/>
  <c r="K74" i="66"/>
  <c r="M12" i="48"/>
  <c r="M58" i="15"/>
  <c r="L72" i="66" s="1"/>
  <c r="K76" i="66"/>
  <c r="M20" i="18"/>
  <c r="L92" i="66"/>
  <c r="L113" i="66"/>
  <c r="L26" i="144"/>
  <c r="L58" i="66"/>
  <c r="M29" i="49"/>
  <c r="K90" i="66"/>
  <c r="L89" i="66"/>
  <c r="L83" i="66"/>
  <c r="K83" i="66"/>
  <c r="L82" i="66"/>
  <c r="L120" i="66"/>
  <c r="M20" i="141"/>
  <c r="N81" i="12"/>
  <c r="M15" i="4"/>
  <c r="M18" i="4" s="1"/>
  <c r="M64" i="12"/>
  <c r="K111" i="66"/>
  <c r="K58" i="66"/>
  <c r="K82" i="66"/>
  <c r="K89" i="66"/>
  <c r="K39" i="66"/>
  <c r="M19" i="31"/>
  <c r="L129" i="66"/>
  <c r="M23" i="29"/>
  <c r="M18" i="38"/>
  <c r="K61" i="38"/>
  <c r="M54" i="43"/>
  <c r="K131" i="43"/>
  <c r="K71" i="26"/>
  <c r="L14" i="66"/>
  <c r="L20" i="23"/>
  <c r="L55" i="17"/>
  <c r="L55" i="15"/>
  <c r="L17" i="15"/>
  <c r="K129" i="66"/>
  <c r="L19" i="13"/>
  <c r="L21" i="47"/>
  <c r="L16" i="46"/>
  <c r="L34" i="44"/>
  <c r="L26" i="60"/>
  <c r="L31" i="40"/>
  <c r="L38" i="38"/>
  <c r="L26" i="149"/>
  <c r="L33" i="35"/>
  <c r="L42" i="34"/>
  <c r="L27" i="33"/>
  <c r="L36" i="30"/>
  <c r="L23" i="29"/>
  <c r="M55" i="15"/>
  <c r="M55" i="17"/>
  <c r="M17" i="15"/>
  <c r="M24" i="56"/>
  <c r="M19" i="13"/>
  <c r="M21" i="47"/>
  <c r="M16" i="46"/>
  <c r="M34" i="44"/>
  <c r="M26" i="60"/>
  <c r="L59" i="43"/>
  <c r="K57" i="66" s="1"/>
  <c r="L17" i="139"/>
  <c r="M31" i="40"/>
  <c r="M26" i="149"/>
  <c r="M33" i="35"/>
  <c r="M42" i="34"/>
  <c r="M27" i="33"/>
  <c r="M36" i="30"/>
  <c r="K117" i="66" l="1"/>
  <c r="K94" i="66"/>
  <c r="L28" i="144"/>
  <c r="L46" i="66"/>
  <c r="K44" i="66"/>
  <c r="L61" i="66"/>
  <c r="K51" i="66"/>
  <c r="L47" i="66"/>
  <c r="L65" i="66"/>
  <c r="L40" i="66"/>
  <c r="L50" i="66"/>
  <c r="L59" i="66"/>
  <c r="L41" i="66"/>
  <c r="L60" i="66"/>
  <c r="K37" i="66"/>
  <c r="K59" i="66"/>
  <c r="L37" i="66"/>
  <c r="L115" i="66"/>
  <c r="L73" i="66"/>
  <c r="L45" i="66"/>
  <c r="L52" i="66"/>
  <c r="L38" i="66"/>
  <c r="L42" i="66"/>
  <c r="L62" i="66"/>
  <c r="K60" i="66"/>
  <c r="L51" i="66"/>
  <c r="L44" i="66"/>
  <c r="K41" i="66"/>
  <c r="K62" i="66"/>
  <c r="L39" i="66"/>
  <c r="L66" i="66"/>
  <c r="D124" i="137"/>
  <c r="K86" i="66"/>
  <c r="L86" i="66"/>
  <c r="M38" i="38"/>
  <c r="L90" i="66"/>
  <c r="L94" i="66" s="1"/>
  <c r="L49" i="66"/>
  <c r="K48" i="66"/>
  <c r="L48" i="66"/>
  <c r="K38" i="66"/>
  <c r="L111" i="66"/>
  <c r="L25" i="144"/>
  <c r="L30" i="144" s="1"/>
  <c r="L33" i="144" s="1"/>
  <c r="L34" i="144" s="1"/>
  <c r="L35" i="144" s="1"/>
  <c r="L36" i="144" s="1"/>
  <c r="M59" i="43"/>
  <c r="K49" i="66"/>
  <c r="K46" i="66"/>
  <c r="K42" i="66"/>
  <c r="L60" i="15"/>
  <c r="L71" i="66"/>
  <c r="L78" i="66" s="1"/>
  <c r="K71" i="66"/>
  <c r="K78" i="66" s="1"/>
  <c r="M60" i="15"/>
  <c r="K68" i="66" l="1"/>
  <c r="L117" i="66"/>
  <c r="L6" i="144" s="1"/>
  <c r="L54" i="66"/>
  <c r="K54" i="66"/>
  <c r="K108" i="66" s="1"/>
  <c r="K133" i="66" s="1"/>
  <c r="L57" i="66"/>
  <c r="L68" i="66" s="1"/>
  <c r="L217" i="66"/>
  <c r="L216" i="66"/>
  <c r="L108" i="66" l="1"/>
  <c r="L133" i="66" s="1"/>
  <c r="P216" i="66"/>
  <c r="J246" i="66" l="1"/>
  <c r="M112" i="66" l="1"/>
  <c r="J12" i="167" l="1"/>
  <c r="J20" i="167" s="1"/>
  <c r="M21" i="66"/>
  <c r="M19" i="66"/>
  <c r="T19" i="66" l="1"/>
  <c r="N21" i="66"/>
  <c r="J21" i="167"/>
  <c r="J13" i="167"/>
  <c r="Q21" i="66"/>
  <c r="L236" i="66"/>
  <c r="N19" i="66"/>
  <c r="Q236" i="66" l="1"/>
  <c r="J37" i="167" l="1"/>
  <c r="J38" i="167" s="1"/>
  <c r="D18" i="167"/>
  <c r="M25" i="66"/>
  <c r="N25" i="66" l="1"/>
  <c r="U25" i="66" s="1"/>
  <c r="O141" i="66"/>
  <c r="P37" i="8"/>
  <c r="A30" i="167" l="1"/>
  <c r="O12" i="167"/>
  <c r="O20" i="167" s="1"/>
  <c r="N12" i="167"/>
  <c r="N20" i="167" s="1"/>
  <c r="N37" i="167" s="1"/>
  <c r="M12" i="167"/>
  <c r="M20" i="167" s="1"/>
  <c r="L12" i="167"/>
  <c r="L20" i="167" s="1"/>
  <c r="L37" i="167" s="1"/>
  <c r="K12" i="167"/>
  <c r="K20" i="167" s="1"/>
  <c r="I12" i="167"/>
  <c r="I20" i="167" s="1"/>
  <c r="H12" i="167"/>
  <c r="H13" i="167" s="1"/>
  <c r="O37" i="167" l="1"/>
  <c r="O21" i="167"/>
  <c r="I37" i="167"/>
  <c r="I21" i="167"/>
  <c r="K37" i="167"/>
  <c r="K21" i="167"/>
  <c r="M37" i="167"/>
  <c r="M21" i="167"/>
  <c r="H20" i="167"/>
  <c r="L21" i="167"/>
  <c r="N21" i="167"/>
  <c r="I13" i="167"/>
  <c r="K13" i="167"/>
  <c r="L13" i="167"/>
  <c r="M13" i="167"/>
  <c r="N13" i="167"/>
  <c r="O13" i="167"/>
  <c r="H21" i="167" l="1"/>
  <c r="O38" i="167"/>
  <c r="N38" i="167"/>
  <c r="M38" i="167"/>
  <c r="I38" i="167" l="1"/>
  <c r="L38" i="167"/>
  <c r="K38" i="167"/>
  <c r="P213" i="66" l="1"/>
  <c r="P212" i="66"/>
  <c r="C12" i="172" l="1"/>
  <c r="D12" i="172"/>
  <c r="E12" i="172"/>
  <c r="E21" i="172" s="1"/>
  <c r="F12" i="172"/>
  <c r="G12" i="172"/>
  <c r="H12" i="172"/>
  <c r="C18" i="172"/>
  <c r="C21" i="172" s="1"/>
  <c r="D18" i="172"/>
  <c r="D21" i="172" s="1"/>
  <c r="E18" i="172"/>
  <c r="F18" i="172"/>
  <c r="G18" i="172"/>
  <c r="H18" i="172"/>
  <c r="N18" i="172"/>
  <c r="K18" i="172"/>
  <c r="J18" i="172"/>
  <c r="I18" i="172"/>
  <c r="O18" i="172"/>
  <c r="P18" i="172" s="1"/>
  <c r="N12" i="172"/>
  <c r="K12" i="172"/>
  <c r="J12" i="172"/>
  <c r="O12" i="172"/>
  <c r="P12" i="172" s="1"/>
  <c r="I12" i="172"/>
  <c r="L32" i="171"/>
  <c r="L31" i="171"/>
  <c r="L30" i="171"/>
  <c r="L29" i="171"/>
  <c r="L28" i="171"/>
  <c r="N28" i="171" s="1"/>
  <c r="Q15" i="171"/>
  <c r="N15" i="171"/>
  <c r="N18" i="171" s="1"/>
  <c r="K15" i="171"/>
  <c r="K18" i="171" s="1"/>
  <c r="J15" i="171"/>
  <c r="J18" i="171" s="1"/>
  <c r="I15" i="171"/>
  <c r="I18" i="171" s="1"/>
  <c r="H15" i="171"/>
  <c r="H18" i="171" s="1"/>
  <c r="G15" i="171"/>
  <c r="G18" i="171" s="1"/>
  <c r="F15" i="171"/>
  <c r="F18" i="171" s="1"/>
  <c r="E15" i="171"/>
  <c r="E18" i="171" s="1"/>
  <c r="D15" i="171"/>
  <c r="D18" i="171" s="1"/>
  <c r="C15" i="171"/>
  <c r="C18" i="171" s="1"/>
  <c r="I21" i="172" l="1"/>
  <c r="M28" i="171"/>
  <c r="M32" i="171"/>
  <c r="N32" i="171" s="1"/>
  <c r="N30" i="171"/>
  <c r="H21" i="172"/>
  <c r="G21" i="172"/>
  <c r="F21" i="172"/>
  <c r="J21" i="172"/>
  <c r="P21" i="172"/>
  <c r="K21" i="172"/>
  <c r="N21" i="172"/>
  <c r="O21" i="172"/>
  <c r="M30" i="171"/>
  <c r="M29" i="171"/>
  <c r="N29" i="171" s="1"/>
  <c r="M31" i="171"/>
  <c r="N31" i="171" s="1"/>
  <c r="K36" i="171"/>
  <c r="C27" i="170"/>
  <c r="C26" i="170"/>
  <c r="C25" i="170"/>
  <c r="C24" i="170"/>
  <c r="C10" i="170"/>
  <c r="C47" i="170"/>
  <c r="C35" i="170"/>
  <c r="C36" i="170" s="1"/>
  <c r="C39" i="170" s="1"/>
  <c r="N121" i="66" l="1"/>
  <c r="M121" i="66"/>
  <c r="C53" i="170"/>
  <c r="C55" i="170" s="1"/>
  <c r="C5" i="170" s="1"/>
  <c r="C7" i="170" s="1"/>
  <c r="C49" i="170"/>
  <c r="C19" i="170" s="1"/>
  <c r="C16" i="170" l="1"/>
  <c r="C12" i="170"/>
  <c r="C13" i="170" s="1"/>
  <c r="L90" i="24" l="1"/>
  <c r="M90" i="24" s="1"/>
  <c r="N90" i="24" s="1"/>
  <c r="E38" i="24"/>
  <c r="L76" i="24"/>
  <c r="L84" i="24"/>
  <c r="L85" i="24"/>
  <c r="L83" i="24"/>
  <c r="L77" i="24"/>
  <c r="L75" i="24"/>
  <c r="L74" i="24"/>
  <c r="L72" i="24"/>
  <c r="L70" i="24"/>
  <c r="K21" i="149"/>
  <c r="K13" i="149"/>
  <c r="K24" i="149" s="1"/>
  <c r="D28" i="167" l="1"/>
  <c r="K10" i="139" l="1"/>
  <c r="N28" i="26" l="1"/>
  <c r="O17" i="77" l="1"/>
  <c r="N15" i="11" l="1"/>
  <c r="K9" i="8"/>
  <c r="L29" i="23"/>
  <c r="M29" i="23" s="1"/>
  <c r="N29" i="23"/>
  <c r="O18" i="23"/>
  <c r="K18" i="23"/>
  <c r="N18" i="23"/>
  <c r="J18" i="23"/>
  <c r="I18" i="23"/>
  <c r="N112" i="66" l="1"/>
  <c r="N221" i="66" l="1"/>
  <c r="O221" i="66" s="1"/>
  <c r="L80" i="12"/>
  <c r="L79" i="12"/>
  <c r="L76" i="12" l="1"/>
  <c r="L55" i="30" l="1"/>
  <c r="M55" i="30" l="1"/>
  <c r="N55" i="30" s="1"/>
  <c r="L87" i="11" l="1"/>
  <c r="L63" i="34"/>
  <c r="L65" i="34"/>
  <c r="L66" i="34"/>
  <c r="L68" i="34"/>
  <c r="L69" i="34"/>
  <c r="M87" i="11" l="1"/>
  <c r="N87" i="11" s="1"/>
  <c r="O159" i="66"/>
  <c r="J16" i="144"/>
  <c r="J6" i="144"/>
  <c r="K22" i="144"/>
  <c r="N15" i="24" l="1"/>
  <c r="J15" i="24"/>
  <c r="I15" i="24"/>
  <c r="K15" i="24"/>
  <c r="B22" i="133" l="1"/>
  <c r="L46" i="149" l="1"/>
  <c r="M46" i="149" l="1"/>
  <c r="N46" i="149" s="1"/>
  <c r="B30" i="167" l="1"/>
  <c r="O200" i="66"/>
  <c r="I46" i="26"/>
  <c r="D30" i="167" l="1"/>
  <c r="O160" i="66" l="1"/>
  <c r="O161" i="66"/>
  <c r="O162" i="66"/>
  <c r="H37" i="167" l="1"/>
  <c r="O173" i="66"/>
  <c r="Q108" i="66" l="1"/>
  <c r="P40" i="24"/>
  <c r="K40" i="24"/>
  <c r="K42" i="24" s="1"/>
  <c r="N40" i="24"/>
  <c r="N42" i="24" s="1"/>
  <c r="J40" i="24"/>
  <c r="I40" i="24"/>
  <c r="I42" i="24" s="1"/>
  <c r="O15" i="49"/>
  <c r="O11" i="60"/>
  <c r="O16" i="43"/>
  <c r="O15" i="43"/>
  <c r="O21" i="29"/>
  <c r="J42" i="24" l="1"/>
  <c r="O11" i="149"/>
  <c r="C7" i="107"/>
  <c r="D7" i="107" s="1"/>
  <c r="J95" i="26" l="1"/>
  <c r="J96" i="26" s="1"/>
  <c r="I95" i="26"/>
  <c r="I98" i="26" s="1"/>
  <c r="J98" i="26" l="1"/>
  <c r="I101" i="26"/>
  <c r="I99" i="26"/>
  <c r="I102" i="26" s="1"/>
  <c r="I96" i="26"/>
  <c r="I104" i="26" l="1"/>
  <c r="J101" i="26"/>
  <c r="J99" i="26"/>
  <c r="J102" i="26" s="1"/>
  <c r="J104" i="26" l="1"/>
  <c r="I84" i="26"/>
  <c r="J74" i="26"/>
  <c r="J24" i="66"/>
  <c r="J23" i="66"/>
  <c r="J18" i="66"/>
  <c r="J17" i="66"/>
  <c r="J15" i="66"/>
  <c r="J14" i="66"/>
  <c r="J11" i="66"/>
  <c r="J9" i="66"/>
  <c r="J72" i="66"/>
  <c r="K13" i="53"/>
  <c r="L77" i="12" l="1"/>
  <c r="L73" i="15" l="1"/>
  <c r="R21" i="24" l="1"/>
  <c r="R31" i="24"/>
  <c r="R32" i="24"/>
  <c r="R19" i="24"/>
  <c r="R27" i="24"/>
  <c r="R17" i="24"/>
  <c r="R10" i="24"/>
  <c r="J15" i="4" l="1"/>
  <c r="J18" i="4" s="1"/>
  <c r="J29" i="6"/>
  <c r="J59" i="6"/>
  <c r="J56" i="6"/>
  <c r="J12" i="5"/>
  <c r="J25" i="5"/>
  <c r="J22" i="5"/>
  <c r="J14" i="12"/>
  <c r="L91" i="12"/>
  <c r="L90" i="12"/>
  <c r="R40" i="24"/>
  <c r="R15" i="24"/>
  <c r="J26" i="93"/>
  <c r="J20" i="93"/>
  <c r="J20" i="54"/>
  <c r="J18" i="53"/>
  <c r="J20" i="53" s="1"/>
  <c r="J9" i="52"/>
  <c r="J15" i="52"/>
  <c r="J31" i="51"/>
  <c r="J61" i="51"/>
  <c r="J56" i="51"/>
  <c r="J11" i="50"/>
  <c r="J14" i="50" s="1"/>
  <c r="J12" i="135"/>
  <c r="J15" i="135" s="1"/>
  <c r="J27" i="49"/>
  <c r="J13" i="49"/>
  <c r="J15" i="11"/>
  <c r="J42" i="11"/>
  <c r="J39" i="11"/>
  <c r="J12" i="10"/>
  <c r="J15" i="10" s="1"/>
  <c r="J24" i="9"/>
  <c r="J11" i="9"/>
  <c r="J22" i="8"/>
  <c r="J37" i="8"/>
  <c r="J15" i="7"/>
  <c r="J12" i="7"/>
  <c r="J13" i="165"/>
  <c r="J15" i="165" s="1"/>
  <c r="J13" i="22"/>
  <c r="J25" i="22"/>
  <c r="J18" i="18"/>
  <c r="J12" i="18"/>
  <c r="J57" i="15"/>
  <c r="J58" i="15" s="1"/>
  <c r="J53" i="15"/>
  <c r="J52" i="15"/>
  <c r="J51" i="15"/>
  <c r="J50" i="15"/>
  <c r="J49" i="15"/>
  <c r="J48" i="15"/>
  <c r="J47" i="15"/>
  <c r="J46" i="15"/>
  <c r="J45" i="15"/>
  <c r="J44" i="15"/>
  <c r="J43" i="15"/>
  <c r="J42" i="15"/>
  <c r="J41" i="15"/>
  <c r="J40" i="15"/>
  <c r="J39" i="15"/>
  <c r="J38" i="15"/>
  <c r="J37" i="15"/>
  <c r="J36" i="15"/>
  <c r="J35" i="15"/>
  <c r="J34" i="15"/>
  <c r="J33" i="15"/>
  <c r="J32" i="15"/>
  <c r="J31" i="15"/>
  <c r="J30" i="15"/>
  <c r="J29" i="15"/>
  <c r="J28" i="15"/>
  <c r="J27" i="15"/>
  <c r="J26" i="15"/>
  <c r="J25" i="15"/>
  <c r="J24" i="15"/>
  <c r="J23" i="15"/>
  <c r="J22" i="15"/>
  <c r="J21" i="15"/>
  <c r="J20" i="15"/>
  <c r="J19" i="15"/>
  <c r="J16" i="15"/>
  <c r="J15" i="15"/>
  <c r="J14" i="15"/>
  <c r="J13" i="15"/>
  <c r="J12" i="15"/>
  <c r="J11" i="15"/>
  <c r="J10" i="15"/>
  <c r="J9" i="15"/>
  <c r="J53" i="17"/>
  <c r="J50" i="17"/>
  <c r="J16" i="17"/>
  <c r="J13" i="23"/>
  <c r="J22" i="56"/>
  <c r="J12" i="56"/>
  <c r="J14" i="13"/>
  <c r="J128" i="66" s="1"/>
  <c r="J11" i="13"/>
  <c r="J127" i="66" s="1"/>
  <c r="J10" i="86"/>
  <c r="J17" i="86"/>
  <c r="J10" i="48"/>
  <c r="J12" i="48" s="1"/>
  <c r="J16" i="47"/>
  <c r="J63" i="66" s="1"/>
  <c r="J19" i="47"/>
  <c r="J64" i="66" s="1"/>
  <c r="J14" i="46"/>
  <c r="J10" i="46"/>
  <c r="J10" i="45"/>
  <c r="J12" i="45" s="1"/>
  <c r="J32" i="44"/>
  <c r="J19" i="44"/>
  <c r="J24" i="60"/>
  <c r="J19" i="60"/>
  <c r="J57" i="43"/>
  <c r="J54" i="43"/>
  <c r="J28" i="43"/>
  <c r="J39" i="87"/>
  <c r="J41" i="87" s="1"/>
  <c r="J14" i="139"/>
  <c r="J17" i="139" s="1"/>
  <c r="J15" i="41"/>
  <c r="J18" i="41" s="1"/>
  <c r="J29" i="40"/>
  <c r="J13" i="40"/>
  <c r="J36" i="38"/>
  <c r="J18" i="38"/>
  <c r="J21" i="77"/>
  <c r="J11" i="149"/>
  <c r="J24" i="149"/>
  <c r="J12" i="36"/>
  <c r="J15" i="36" s="1"/>
  <c r="J31" i="35"/>
  <c r="J16" i="35"/>
  <c r="J129" i="66" l="1"/>
  <c r="J51" i="66"/>
  <c r="J84" i="66"/>
  <c r="J61" i="66"/>
  <c r="J23" i="77"/>
  <c r="J47" i="66" s="1"/>
  <c r="J100" i="66"/>
  <c r="J58" i="66"/>
  <c r="J103" i="66"/>
  <c r="J65" i="66"/>
  <c r="J91" i="66"/>
  <c r="J22" i="54"/>
  <c r="J104" i="66"/>
  <c r="J45" i="66"/>
  <c r="J50" i="66"/>
  <c r="J92" i="66"/>
  <c r="J115" i="66"/>
  <c r="J52" i="66"/>
  <c r="J64" i="12"/>
  <c r="J17" i="15"/>
  <c r="J33" i="35"/>
  <c r="R42" i="24"/>
  <c r="J34" i="44"/>
  <c r="J26" i="9"/>
  <c r="J21" i="47"/>
  <c r="J55" i="15"/>
  <c r="J61" i="6"/>
  <c r="J27" i="5"/>
  <c r="J113" i="66" s="1"/>
  <c r="J30" i="93"/>
  <c r="J64" i="51"/>
  <c r="J29" i="49"/>
  <c r="J44" i="11"/>
  <c r="J39" i="8"/>
  <c r="J17" i="7"/>
  <c r="J27" i="22"/>
  <c r="J20" i="18"/>
  <c r="J55" i="17"/>
  <c r="J20" i="23"/>
  <c r="J24" i="56"/>
  <c r="J19" i="13"/>
  <c r="J19" i="86"/>
  <c r="J16" i="46"/>
  <c r="J26" i="60"/>
  <c r="J59" i="43"/>
  <c r="J31" i="40"/>
  <c r="J38" i="38"/>
  <c r="J26" i="149"/>
  <c r="J40" i="34"/>
  <c r="J43" i="66" s="1"/>
  <c r="J37" i="34"/>
  <c r="J16" i="34"/>
  <c r="J25" i="33"/>
  <c r="J11" i="33"/>
  <c r="J11" i="32"/>
  <c r="J14" i="32" s="1"/>
  <c r="J16" i="31"/>
  <c r="J19" i="31" s="1"/>
  <c r="J19" i="30"/>
  <c r="J34" i="30"/>
  <c r="J21" i="29"/>
  <c r="J23" i="29" s="1"/>
  <c r="I21" i="29"/>
  <c r="J10" i="29"/>
  <c r="K39" i="87"/>
  <c r="K41" i="87" s="1"/>
  <c r="K48" i="43"/>
  <c r="K11" i="18"/>
  <c r="K12" i="18" s="1"/>
  <c r="O34" i="51"/>
  <c r="O10" i="51"/>
  <c r="J106" i="66" l="1"/>
  <c r="J59" i="66"/>
  <c r="J74" i="66"/>
  <c r="J62" i="66"/>
  <c r="J76" i="66"/>
  <c r="J114" i="66"/>
  <c r="J37" i="66"/>
  <c r="J66" i="66"/>
  <c r="J82" i="66"/>
  <c r="J89" i="66"/>
  <c r="J46" i="66"/>
  <c r="J90" i="66"/>
  <c r="J83" i="66"/>
  <c r="J39" i="66"/>
  <c r="J48" i="66"/>
  <c r="J97" i="66"/>
  <c r="J60" i="66"/>
  <c r="J40" i="66"/>
  <c r="J49" i="66"/>
  <c r="J57" i="66"/>
  <c r="J73" i="66"/>
  <c r="J111" i="66"/>
  <c r="J44" i="66"/>
  <c r="J60" i="15"/>
  <c r="J71" i="66"/>
  <c r="J120" i="66"/>
  <c r="R43" i="24"/>
  <c r="J42" i="34"/>
  <c r="J27" i="33"/>
  <c r="J36" i="30"/>
  <c r="J94" i="66" l="1"/>
  <c r="J117" i="66"/>
  <c r="J68" i="66"/>
  <c r="J41" i="66"/>
  <c r="J38" i="66"/>
  <c r="J86" i="66"/>
  <c r="J42" i="66"/>
  <c r="J78" i="66"/>
  <c r="J54" i="66" l="1"/>
  <c r="J108" i="66" s="1"/>
  <c r="J133" i="66" s="1"/>
  <c r="J248" i="66" s="1"/>
  <c r="J253" i="66" s="1"/>
  <c r="S47" i="6" l="1"/>
  <c r="S46" i="6"/>
  <c r="P142" i="66" l="1"/>
  <c r="P150" i="66"/>
  <c r="D25" i="167" l="1"/>
  <c r="D24" i="167"/>
  <c r="D31" i="167"/>
  <c r="D27" i="167"/>
  <c r="D23" i="167" l="1"/>
  <c r="H38" i="167"/>
  <c r="M13" i="66" l="1"/>
  <c r="N13" i="66" l="1"/>
  <c r="Q13" i="66"/>
  <c r="P219" i="66"/>
  <c r="U225" i="66" l="1"/>
  <c r="P220" i="66"/>
  <c r="P218" i="66"/>
  <c r="M29" i="26" l="1"/>
  <c r="L31" i="31"/>
  <c r="L30" i="31"/>
  <c r="L29" i="31"/>
  <c r="L27" i="31"/>
  <c r="L26" i="31"/>
  <c r="L25" i="31"/>
  <c r="N27" i="31" l="1"/>
  <c r="M25" i="31"/>
  <c r="N25" i="31" s="1"/>
  <c r="M26" i="31"/>
  <c r="N26" i="31" s="1"/>
  <c r="M27" i="31"/>
  <c r="M29" i="31"/>
  <c r="N29" i="31" s="1"/>
  <c r="M30" i="31"/>
  <c r="N30" i="31" s="1"/>
  <c r="M31" i="31"/>
  <c r="N31" i="31" s="1"/>
  <c r="K23" i="135" l="1"/>
  <c r="K22" i="45"/>
  <c r="L38" i="29" l="1"/>
  <c r="L37" i="29"/>
  <c r="L36" i="29"/>
  <c r="L35" i="29"/>
  <c r="L34" i="29"/>
  <c r="L33" i="29"/>
  <c r="L32" i="29"/>
  <c r="N31" i="29"/>
  <c r="L31" i="29"/>
  <c r="M31" i="29" s="1"/>
  <c r="L30" i="29"/>
  <c r="M37" i="29" l="1"/>
  <c r="K40" i="29"/>
  <c r="M34" i="29"/>
  <c r="N34" i="29" s="1"/>
  <c r="M36" i="29"/>
  <c r="M38" i="29"/>
  <c r="N38" i="29" s="1"/>
  <c r="N37" i="29"/>
  <c r="M32" i="29"/>
  <c r="N32" i="29" s="1"/>
  <c r="N36" i="29"/>
  <c r="M33" i="29"/>
  <c r="N33" i="29" s="1"/>
  <c r="M35" i="29"/>
  <c r="N35" i="29" s="1"/>
  <c r="I55" i="12"/>
  <c r="L26" i="139"/>
  <c r="O10" i="139"/>
  <c r="M26" i="139" l="1"/>
  <c r="N26" i="139"/>
  <c r="L60" i="35" l="1"/>
  <c r="L59" i="35"/>
  <c r="L58" i="35"/>
  <c r="M58" i="35" l="1"/>
  <c r="M60" i="35"/>
  <c r="M59" i="35"/>
  <c r="O18" i="8"/>
  <c r="K83" i="34" l="1"/>
  <c r="C99" i="143"/>
  <c r="L22" i="165" l="1"/>
  <c r="L24" i="165"/>
  <c r="M24" i="165" s="1"/>
  <c r="L23" i="165"/>
  <c r="N23" i="165" s="1"/>
  <c r="L21" i="165"/>
  <c r="O13" i="165"/>
  <c r="N13" i="165"/>
  <c r="N15" i="165" s="1"/>
  <c r="K13" i="165"/>
  <c r="K15" i="165" s="1"/>
  <c r="I13" i="165"/>
  <c r="I15" i="165" s="1"/>
  <c r="H13" i="165"/>
  <c r="H15" i="165" s="1"/>
  <c r="G13" i="165"/>
  <c r="G15" i="165" s="1"/>
  <c r="F13" i="165"/>
  <c r="F15" i="165" s="1"/>
  <c r="E13" i="165"/>
  <c r="D13" i="165"/>
  <c r="C13" i="165"/>
  <c r="O15" i="165" l="1"/>
  <c r="M21" i="165"/>
  <c r="N21" i="165" s="1"/>
  <c r="K26" i="165"/>
  <c r="M22" i="165"/>
  <c r="L26" i="165"/>
  <c r="P13" i="165"/>
  <c r="N22" i="165"/>
  <c r="N24" i="165"/>
  <c r="M23" i="165"/>
  <c r="E15" i="165"/>
  <c r="D15" i="165"/>
  <c r="C15" i="165"/>
  <c r="M75" i="66" l="1"/>
  <c r="M26" i="165"/>
  <c r="N26" i="165"/>
  <c r="P15" i="165"/>
  <c r="N75" i="66" s="1"/>
  <c r="I71" i="26"/>
  <c r="I76" i="26"/>
  <c r="I48" i="26"/>
  <c r="I54" i="26" s="1"/>
  <c r="I24" i="26"/>
  <c r="I25" i="26" s="1"/>
  <c r="I28" i="26" s="1"/>
  <c r="J7" i="66" s="1"/>
  <c r="I9" i="26"/>
  <c r="J8" i="66" l="1"/>
  <c r="L49" i="149" l="1"/>
  <c r="M49" i="149" l="1"/>
  <c r="N49" i="149"/>
  <c r="I16" i="144" l="1"/>
  <c r="E28" i="2" l="1"/>
  <c r="G19" i="2"/>
  <c r="I19" i="2" l="1"/>
  <c r="I47" i="12"/>
  <c r="I20" i="12"/>
  <c r="I59" i="12" s="1"/>
  <c r="I21" i="17"/>
  <c r="I39" i="17"/>
  <c r="I43" i="43"/>
  <c r="I14" i="44"/>
  <c r="K12" i="60" l="1"/>
  <c r="K11" i="60"/>
  <c r="K10" i="60"/>
  <c r="K16" i="43"/>
  <c r="K15" i="43"/>
  <c r="M12" i="66" l="1"/>
  <c r="N12" i="66" l="1"/>
  <c r="Q12" i="66" s="1"/>
  <c r="H46" i="26"/>
  <c r="I11" i="12" l="1"/>
  <c r="I9" i="12"/>
  <c r="I10" i="11"/>
  <c r="I9" i="11"/>
  <c r="L95" i="17"/>
  <c r="O48" i="15"/>
  <c r="N48" i="15"/>
  <c r="K48" i="15"/>
  <c r="I48" i="15"/>
  <c r="H48" i="15"/>
  <c r="I9" i="43"/>
  <c r="M95" i="17" l="1"/>
  <c r="L71" i="38"/>
  <c r="M71" i="38" l="1"/>
  <c r="I16" i="35"/>
  <c r="L95" i="26" l="1"/>
  <c r="L84" i="26"/>
  <c r="M15" i="66"/>
  <c r="M24" i="66"/>
  <c r="M23" i="66"/>
  <c r="M18" i="66"/>
  <c r="M11" i="66"/>
  <c r="M9" i="66"/>
  <c r="K24" i="66"/>
  <c r="K23" i="66"/>
  <c r="K18" i="66"/>
  <c r="K17" i="66"/>
  <c r="K11" i="66"/>
  <c r="K9" i="66"/>
  <c r="N18" i="66" l="1"/>
  <c r="L39" i="26"/>
  <c r="L53" i="26"/>
  <c r="L76" i="26"/>
  <c r="L96" i="26"/>
  <c r="L98" i="26"/>
  <c r="L99" i="26" s="1"/>
  <c r="N148" i="66" s="1"/>
  <c r="M148" i="66" l="1"/>
  <c r="L102" i="26"/>
  <c r="N149" i="66" s="1"/>
  <c r="L101" i="26"/>
  <c r="N147" i="66" s="1"/>
  <c r="M147" i="66" l="1"/>
  <c r="M149" i="66"/>
  <c r="L104" i="26"/>
  <c r="G40" i="138" l="1"/>
  <c r="G30" i="138" s="1"/>
  <c r="G20" i="138" s="1"/>
  <c r="F40" i="138"/>
  <c r="F30" i="138" s="1"/>
  <c r="F20" i="138" s="1"/>
  <c r="E37" i="138"/>
  <c r="E27" i="138" s="1"/>
  <c r="E17" i="138" s="1"/>
  <c r="C37" i="138"/>
  <c r="C27" i="138" s="1"/>
  <c r="C17" i="138" s="1"/>
  <c r="G36" i="138"/>
  <c r="G26" i="138" s="1"/>
  <c r="G16" i="138" s="1"/>
  <c r="E36" i="138"/>
  <c r="E26" i="138" s="1"/>
  <c r="C36" i="138"/>
  <c r="C26" i="138" s="1"/>
  <c r="H9" i="43"/>
  <c r="K16" i="35"/>
  <c r="E16" i="138" l="1"/>
  <c r="L83" i="43" s="1"/>
  <c r="C16" i="138"/>
  <c r="K50" i="13"/>
  <c r="K49" i="13"/>
  <c r="K48" i="13"/>
  <c r="K47" i="13"/>
  <c r="G22" i="2"/>
  <c r="I22" i="2" s="1"/>
  <c r="G18" i="2"/>
  <c r="G16" i="2"/>
  <c r="K15" i="4"/>
  <c r="K18" i="4" s="1"/>
  <c r="K59" i="6"/>
  <c r="K56" i="6"/>
  <c r="K29" i="6"/>
  <c r="O59" i="6"/>
  <c r="P29" i="6"/>
  <c r="P59" i="6"/>
  <c r="K25" i="5"/>
  <c r="K22" i="5"/>
  <c r="K12" i="5"/>
  <c r="K46" i="5"/>
  <c r="K14" i="12"/>
  <c r="M91" i="12"/>
  <c r="N91" i="12" s="1"/>
  <c r="M90" i="12"/>
  <c r="N90" i="12" s="1"/>
  <c r="K71" i="24"/>
  <c r="K92" i="24" s="1"/>
  <c r="L48" i="93"/>
  <c r="L47" i="93"/>
  <c r="L45" i="93"/>
  <c r="L44" i="93"/>
  <c r="L43" i="93"/>
  <c r="L42" i="93"/>
  <c r="L41" i="93"/>
  <c r="L40" i="93"/>
  <c r="L39" i="93"/>
  <c r="L38" i="93"/>
  <c r="L37" i="93"/>
  <c r="L36" i="93"/>
  <c r="L46" i="93"/>
  <c r="O20" i="93"/>
  <c r="K26" i="93"/>
  <c r="K20" i="93"/>
  <c r="J32" i="54"/>
  <c r="K20" i="54"/>
  <c r="K18" i="53"/>
  <c r="K20" i="53" s="1"/>
  <c r="K15" i="52"/>
  <c r="O61" i="51"/>
  <c r="P31" i="51"/>
  <c r="P56" i="51"/>
  <c r="P61" i="51"/>
  <c r="K61" i="51"/>
  <c r="K56" i="51"/>
  <c r="K31" i="51"/>
  <c r="K11" i="50"/>
  <c r="K14" i="50" s="1"/>
  <c r="K12" i="135"/>
  <c r="K15" i="135" s="1"/>
  <c r="K15" i="49"/>
  <c r="K27" i="49" s="1"/>
  <c r="K42" i="11"/>
  <c r="K39" i="11"/>
  <c r="K15" i="11"/>
  <c r="K12" i="10"/>
  <c r="K15" i="10" s="1"/>
  <c r="K24" i="9"/>
  <c r="K11" i="9"/>
  <c r="K37" i="8"/>
  <c r="K22" i="8"/>
  <c r="K28" i="7"/>
  <c r="K15" i="7"/>
  <c r="K12" i="7"/>
  <c r="K25" i="22"/>
  <c r="K13" i="22"/>
  <c r="K18" i="18"/>
  <c r="K57" i="15"/>
  <c r="K53" i="15"/>
  <c r="K52" i="15"/>
  <c r="K51" i="15"/>
  <c r="K50" i="15"/>
  <c r="K49" i="15"/>
  <c r="K47" i="15"/>
  <c r="K46" i="15"/>
  <c r="K45" i="15"/>
  <c r="K44" i="15"/>
  <c r="K43" i="15"/>
  <c r="K42" i="15"/>
  <c r="K41" i="15"/>
  <c r="K40" i="15"/>
  <c r="K39" i="15"/>
  <c r="K38" i="15"/>
  <c r="K37" i="15"/>
  <c r="K36" i="15"/>
  <c r="K35" i="15"/>
  <c r="K34" i="15"/>
  <c r="K33" i="15"/>
  <c r="K32" i="15"/>
  <c r="K31" i="15"/>
  <c r="K30" i="15"/>
  <c r="K29" i="15"/>
  <c r="K28" i="15"/>
  <c r="K27" i="15"/>
  <c r="K26" i="15"/>
  <c r="K25" i="15"/>
  <c r="K24" i="15"/>
  <c r="K23" i="15"/>
  <c r="K22" i="15"/>
  <c r="K21" i="15"/>
  <c r="K20" i="15"/>
  <c r="K19" i="15"/>
  <c r="K16" i="15"/>
  <c r="K15" i="15"/>
  <c r="K14" i="15"/>
  <c r="K13" i="15"/>
  <c r="K12" i="15"/>
  <c r="K11" i="15"/>
  <c r="K10" i="15"/>
  <c r="K9" i="15"/>
  <c r="K13" i="23"/>
  <c r="K53" i="17"/>
  <c r="K50" i="17"/>
  <c r="K16" i="17"/>
  <c r="K22" i="56"/>
  <c r="K12" i="56"/>
  <c r="K14" i="13"/>
  <c r="K11" i="13"/>
  <c r="K17" i="86"/>
  <c r="K19" i="86" s="1"/>
  <c r="K10" i="86"/>
  <c r="K10" i="48"/>
  <c r="K12" i="48" s="1"/>
  <c r="K20" i="48"/>
  <c r="K19" i="47"/>
  <c r="K16" i="47"/>
  <c r="K23" i="46"/>
  <c r="K28" i="46" s="1"/>
  <c r="K14" i="46"/>
  <c r="K10" i="46"/>
  <c r="K10" i="45"/>
  <c r="K12" i="45" s="1"/>
  <c r="K32" i="44"/>
  <c r="K19" i="44"/>
  <c r="K24" i="60"/>
  <c r="K19" i="60"/>
  <c r="K57" i="43"/>
  <c r="K28" i="43"/>
  <c r="L30" i="139"/>
  <c r="M30" i="139" s="1"/>
  <c r="N30" i="139" s="1"/>
  <c r="K14" i="139"/>
  <c r="K17" i="139" s="1"/>
  <c r="K15" i="41"/>
  <c r="K18" i="41" s="1"/>
  <c r="L62" i="40"/>
  <c r="L61" i="40"/>
  <c r="L60" i="40"/>
  <c r="L59" i="40"/>
  <c r="L58" i="40"/>
  <c r="L57" i="40"/>
  <c r="L56" i="40"/>
  <c r="L55" i="40"/>
  <c r="K52" i="40"/>
  <c r="K64" i="40" s="1"/>
  <c r="K29" i="40"/>
  <c r="K13" i="40"/>
  <c r="K36" i="38"/>
  <c r="K18" i="38"/>
  <c r="K21" i="77"/>
  <c r="K11" i="149"/>
  <c r="K12" i="36"/>
  <c r="K15" i="36" s="1"/>
  <c r="K24" i="36"/>
  <c r="K61" i="35"/>
  <c r="K31" i="35"/>
  <c r="K40" i="34"/>
  <c r="K37" i="34"/>
  <c r="K16" i="34"/>
  <c r="K16" i="46" l="1"/>
  <c r="N48" i="13"/>
  <c r="K43" i="56"/>
  <c r="K41" i="77"/>
  <c r="N49" i="13"/>
  <c r="K17" i="7"/>
  <c r="N50" i="13"/>
  <c r="J26" i="10"/>
  <c r="K23" i="50"/>
  <c r="K64" i="12"/>
  <c r="K36" i="53"/>
  <c r="N93" i="12"/>
  <c r="M93" i="12"/>
  <c r="N92" i="12"/>
  <c r="M92" i="12"/>
  <c r="K51" i="149"/>
  <c r="K80" i="38"/>
  <c r="K48" i="5"/>
  <c r="K26" i="149"/>
  <c r="K27" i="5"/>
  <c r="K67" i="44"/>
  <c r="K52" i="9"/>
  <c r="K23" i="77"/>
  <c r="K75" i="87"/>
  <c r="K138" i="43"/>
  <c r="K61" i="60"/>
  <c r="K21" i="47"/>
  <c r="K20" i="23"/>
  <c r="K33" i="23"/>
  <c r="K34" i="18"/>
  <c r="K49" i="22"/>
  <c r="K81" i="8"/>
  <c r="I101" i="11"/>
  <c r="K59" i="49"/>
  <c r="K22" i="54"/>
  <c r="K51" i="93"/>
  <c r="K36" i="4"/>
  <c r="K58" i="15"/>
  <c r="K39" i="8"/>
  <c r="K75" i="35"/>
  <c r="K44" i="11"/>
  <c r="K20" i="18"/>
  <c r="K55" i="17"/>
  <c r="K17" i="15"/>
  <c r="K55" i="15"/>
  <c r="K54" i="43"/>
  <c r="K59" i="43" s="1"/>
  <c r="K19" i="13"/>
  <c r="K61" i="6"/>
  <c r="K30" i="93"/>
  <c r="K237" i="66" s="1"/>
  <c r="K246" i="66" s="1"/>
  <c r="K248" i="66" s="1"/>
  <c r="K64" i="51"/>
  <c r="K13" i="49"/>
  <c r="K29" i="49" s="1"/>
  <c r="K26" i="9"/>
  <c r="K27" i="22"/>
  <c r="K24" i="56"/>
  <c r="K34" i="44"/>
  <c r="K26" i="60"/>
  <c r="K31" i="40"/>
  <c r="K38" i="38"/>
  <c r="K33" i="35"/>
  <c r="K42" i="34"/>
  <c r="K25" i="33"/>
  <c r="K11" i="33"/>
  <c r="K11" i="32"/>
  <c r="K14" i="32" s="1"/>
  <c r="K16" i="31"/>
  <c r="K19" i="31" s="1"/>
  <c r="K34" i="30"/>
  <c r="K19" i="30"/>
  <c r="K21" i="29"/>
  <c r="K10" i="29"/>
  <c r="N80" i="12"/>
  <c r="D123" i="137" s="1"/>
  <c r="I135" i="12" l="1"/>
  <c r="K23" i="29"/>
  <c r="K52" i="33"/>
  <c r="K71" i="30"/>
  <c r="K27" i="33"/>
  <c r="K60" i="15"/>
  <c r="K36" i="30"/>
  <c r="I26" i="66" l="1"/>
  <c r="I27" i="66"/>
  <c r="K15" i="66" l="1"/>
  <c r="K253" i="66"/>
  <c r="P185" i="66" l="1"/>
  <c r="P184" i="66"/>
  <c r="P183" i="66"/>
  <c r="P188" i="66" l="1"/>
  <c r="P189" i="66"/>
  <c r="L76" i="34" l="1"/>
  <c r="M76" i="34" l="1"/>
  <c r="N76" i="34" s="1"/>
  <c r="M7" i="66" l="1"/>
  <c r="B18" i="133"/>
  <c r="I30" i="15"/>
  <c r="R47" i="6" l="1"/>
  <c r="T47" i="6"/>
  <c r="O47" i="6" s="1"/>
  <c r="U47" i="6"/>
  <c r="V47" i="6"/>
  <c r="W47" i="6"/>
  <c r="X47" i="6"/>
  <c r="Y47" i="6"/>
  <c r="Z47" i="6"/>
  <c r="AA47" i="6"/>
  <c r="AB47" i="6"/>
  <c r="AC47" i="6"/>
  <c r="AD47" i="6"/>
  <c r="AE47" i="6"/>
  <c r="AF47" i="6"/>
  <c r="AG47" i="6"/>
  <c r="AH47" i="6"/>
  <c r="AI47" i="6"/>
  <c r="AI46" i="6"/>
  <c r="AH46" i="6"/>
  <c r="AG46" i="6"/>
  <c r="AF46" i="6"/>
  <c r="AE46" i="6"/>
  <c r="AD46" i="6"/>
  <c r="AC46" i="6"/>
  <c r="AB46" i="6"/>
  <c r="AA46" i="6"/>
  <c r="Z46" i="6"/>
  <c r="Y46" i="6"/>
  <c r="X46" i="6"/>
  <c r="W46" i="6"/>
  <c r="V46" i="6"/>
  <c r="U46" i="6"/>
  <c r="T46" i="6"/>
  <c r="O46" i="6" s="1"/>
  <c r="R46" i="6"/>
  <c r="L67" i="8" l="1"/>
  <c r="N67" i="8" s="1"/>
  <c r="L66" i="8"/>
  <c r="N22" i="8"/>
  <c r="I22" i="8"/>
  <c r="H22" i="8"/>
  <c r="G22" i="8"/>
  <c r="L50" i="87"/>
  <c r="L51" i="87"/>
  <c r="M51" i="87" s="1"/>
  <c r="N51" i="87" s="1"/>
  <c r="L52" i="87"/>
  <c r="L53" i="87"/>
  <c r="M53" i="87" s="1"/>
  <c r="N53" i="87" s="1"/>
  <c r="L54" i="87"/>
  <c r="L55" i="87"/>
  <c r="M55" i="87" s="1"/>
  <c r="N55" i="87" s="1"/>
  <c r="L56" i="87"/>
  <c r="L57" i="87"/>
  <c r="M57" i="87" s="1"/>
  <c r="N57" i="87" s="1"/>
  <c r="L58" i="87"/>
  <c r="L59" i="87"/>
  <c r="M59" i="87" s="1"/>
  <c r="N59" i="87" s="1"/>
  <c r="L60" i="87"/>
  <c r="L61" i="87"/>
  <c r="M61" i="87" s="1"/>
  <c r="N61" i="87" s="1"/>
  <c r="L62" i="87"/>
  <c r="L63" i="87"/>
  <c r="L64" i="87"/>
  <c r="L65" i="87"/>
  <c r="M65" i="87" s="1"/>
  <c r="N65" i="87" s="1"/>
  <c r="L66" i="87"/>
  <c r="M66" i="87" s="1"/>
  <c r="N66" i="87" s="1"/>
  <c r="L67" i="87"/>
  <c r="M67" i="87" s="1"/>
  <c r="N67" i="87" s="1"/>
  <c r="L68" i="87"/>
  <c r="L69" i="87"/>
  <c r="M69" i="87" s="1"/>
  <c r="N69" i="87" s="1"/>
  <c r="L70" i="87"/>
  <c r="M70" i="87" s="1"/>
  <c r="N70" i="87" s="1"/>
  <c r="L71" i="87"/>
  <c r="M71" i="87" s="1"/>
  <c r="N71" i="87" s="1"/>
  <c r="L72" i="87"/>
  <c r="L73" i="87"/>
  <c r="M73" i="87" s="1"/>
  <c r="N73" i="87" s="1"/>
  <c r="M66" i="8" l="1"/>
  <c r="N66" i="8"/>
  <c r="M63" i="87"/>
  <c r="N63" i="87"/>
  <c r="M62" i="87"/>
  <c r="N62" i="87" s="1"/>
  <c r="M58" i="87"/>
  <c r="N58" i="87" s="1"/>
  <c r="M64" i="87"/>
  <c r="N64" i="87" s="1"/>
  <c r="M60" i="87"/>
  <c r="N60" i="87" s="1"/>
  <c r="M72" i="87"/>
  <c r="N72" i="87"/>
  <c r="M68" i="87"/>
  <c r="N68" i="87" s="1"/>
  <c r="M56" i="87"/>
  <c r="N56" i="87" s="1"/>
  <c r="M54" i="87"/>
  <c r="N54" i="87" s="1"/>
  <c r="M52" i="87"/>
  <c r="N52" i="87" s="1"/>
  <c r="M50" i="87"/>
  <c r="N50" i="87" s="1"/>
  <c r="M67" i="8"/>
  <c r="L36" i="47" l="1"/>
  <c r="C14" i="139"/>
  <c r="D14" i="139"/>
  <c r="D17" i="139" s="1"/>
  <c r="E14" i="139"/>
  <c r="E17" i="139" s="1"/>
  <c r="F14" i="139"/>
  <c r="F17" i="139" s="1"/>
  <c r="G14" i="139"/>
  <c r="G17" i="139" s="1"/>
  <c r="H14" i="139"/>
  <c r="H17" i="139" s="1"/>
  <c r="I14" i="139"/>
  <c r="I17" i="139" s="1"/>
  <c r="N14" i="139"/>
  <c r="O14" i="139"/>
  <c r="P14" i="139"/>
  <c r="C17" i="139"/>
  <c r="N17" i="139"/>
  <c r="L28" i="139"/>
  <c r="M28" i="139" s="1"/>
  <c r="O17" i="139" l="1"/>
  <c r="N28" i="139"/>
  <c r="M51" i="66" l="1"/>
  <c r="P17" i="139"/>
  <c r="N51" i="66" s="1"/>
  <c r="P190" i="66"/>
  <c r="L91" i="11" l="1"/>
  <c r="M83" i="11"/>
  <c r="L115" i="43"/>
  <c r="N83" i="11" l="1"/>
  <c r="L73" i="8" l="1"/>
  <c r="I18" i="38"/>
  <c r="H18" i="38"/>
  <c r="G18" i="38"/>
  <c r="N18" i="38"/>
  <c r="N16" i="35"/>
  <c r="M73" i="8" l="1"/>
  <c r="N73" i="8" s="1"/>
  <c r="L57" i="49"/>
  <c r="L56" i="49"/>
  <c r="L55" i="49"/>
  <c r="N55" i="49" s="1"/>
  <c r="L54" i="49"/>
  <c r="L53" i="49"/>
  <c r="L52" i="49"/>
  <c r="L51" i="49"/>
  <c r="L44" i="22" l="1"/>
  <c r="O50" i="17"/>
  <c r="M101" i="17" l="1"/>
  <c r="N101" i="17" s="1"/>
  <c r="M44" i="22"/>
  <c r="N44" i="22" s="1"/>
  <c r="G69" i="33" l="1"/>
  <c r="H26" i="17" l="1"/>
  <c r="G26" i="17"/>
  <c r="L79" i="17"/>
  <c r="N30" i="15"/>
  <c r="O30" i="15"/>
  <c r="M79" i="17" l="1"/>
  <c r="N79" i="17" s="1"/>
  <c r="G46" i="26" l="1"/>
  <c r="I72" i="66"/>
  <c r="O22" i="5" l="1"/>
  <c r="O12" i="5"/>
  <c r="B15" i="167" l="1"/>
  <c r="D15" i="167" l="1"/>
  <c r="I246" i="66"/>
  <c r="N79" i="12" l="1"/>
  <c r="B86" i="141"/>
  <c r="B85" i="141"/>
  <c r="B84" i="141"/>
  <c r="N86" i="24"/>
  <c r="N71" i="24"/>
  <c r="N67" i="24"/>
  <c r="K31" i="52"/>
  <c r="L30" i="86"/>
  <c r="L29" i="86"/>
  <c r="L28" i="86"/>
  <c r="L27" i="86"/>
  <c r="L26" i="86"/>
  <c r="L32" i="86" s="1"/>
  <c r="M32" i="86" s="1"/>
  <c r="N32" i="86" s="1"/>
  <c r="L25" i="86"/>
  <c r="L35" i="47"/>
  <c r="L34" i="47"/>
  <c r="L33" i="47"/>
  <c r="L32" i="47"/>
  <c r="M32" i="47" s="1"/>
  <c r="L31" i="47"/>
  <c r="L30" i="47"/>
  <c r="K38" i="47"/>
  <c r="L29" i="47"/>
  <c r="L65" i="44"/>
  <c r="L64" i="44"/>
  <c r="L63" i="44"/>
  <c r="L62" i="44"/>
  <c r="L61" i="44"/>
  <c r="L60" i="44"/>
  <c r="L59" i="44"/>
  <c r="L58" i="44"/>
  <c r="L57" i="44"/>
  <c r="L56" i="44"/>
  <c r="L29" i="29"/>
  <c r="L40" i="29" s="1"/>
  <c r="M40" i="29" s="1"/>
  <c r="N40" i="29" s="1"/>
  <c r="N22" i="66"/>
  <c r="N10" i="66"/>
  <c r="H27" i="66"/>
  <c r="G27" i="66"/>
  <c r="F27" i="66"/>
  <c r="E27" i="66"/>
  <c r="D27" i="66"/>
  <c r="H26" i="66"/>
  <c r="G26" i="66"/>
  <c r="F26" i="66"/>
  <c r="E26" i="66"/>
  <c r="D26" i="66"/>
  <c r="C27" i="66"/>
  <c r="C26" i="66"/>
  <c r="I24" i="66"/>
  <c r="H24" i="66"/>
  <c r="F24" i="66"/>
  <c r="E24" i="66"/>
  <c r="D24" i="66"/>
  <c r="C24" i="66"/>
  <c r="I23" i="66"/>
  <c r="F23" i="66"/>
  <c r="E23" i="66"/>
  <c r="D23" i="66"/>
  <c r="C23" i="66"/>
  <c r="H18" i="66"/>
  <c r="G18" i="66"/>
  <c r="F18" i="66"/>
  <c r="E18" i="66"/>
  <c r="D18" i="66"/>
  <c r="C18" i="66"/>
  <c r="I17" i="66"/>
  <c r="H17" i="66"/>
  <c r="F17" i="66"/>
  <c r="E17" i="66"/>
  <c r="D17" i="66"/>
  <c r="C17" i="66"/>
  <c r="I15" i="66"/>
  <c r="H15" i="66"/>
  <c r="G15" i="66"/>
  <c r="F15" i="66"/>
  <c r="E15" i="66"/>
  <c r="D15" i="66"/>
  <c r="C15" i="66"/>
  <c r="H14" i="66"/>
  <c r="G14" i="66"/>
  <c r="F14" i="66"/>
  <c r="C14" i="66"/>
  <c r="I11" i="66"/>
  <c r="H11" i="66"/>
  <c r="G11" i="66"/>
  <c r="F11" i="66"/>
  <c r="E11" i="66"/>
  <c r="D11" i="66"/>
  <c r="C11" i="66"/>
  <c r="I9" i="66"/>
  <c r="H9" i="66"/>
  <c r="G9" i="66"/>
  <c r="F9" i="66"/>
  <c r="E9" i="66"/>
  <c r="D9" i="66"/>
  <c r="C9" i="66"/>
  <c r="G8" i="66"/>
  <c r="F8" i="66"/>
  <c r="E8" i="66"/>
  <c r="D8" i="66"/>
  <c r="C8" i="66"/>
  <c r="J84" i="26"/>
  <c r="J76" i="26"/>
  <c r="J24" i="26"/>
  <c r="J25" i="26" s="1"/>
  <c r="H25" i="26"/>
  <c r="C8" i="26"/>
  <c r="C9" i="26" s="1"/>
  <c r="C13" i="26" s="1"/>
  <c r="C16" i="26" s="1"/>
  <c r="D6" i="66" s="1"/>
  <c r="B13" i="26"/>
  <c r="B16" i="26" s="1"/>
  <c r="C6" i="66" s="1"/>
  <c r="B24" i="26"/>
  <c r="B25" i="26" s="1"/>
  <c r="B28" i="26" s="1"/>
  <c r="C7" i="66" s="1"/>
  <c r="C24" i="26"/>
  <c r="C25" i="26" s="1"/>
  <c r="C28" i="26" s="1"/>
  <c r="D7" i="66" s="1"/>
  <c r="D24" i="26"/>
  <c r="D25" i="26" s="1"/>
  <c r="D28" i="26" s="1"/>
  <c r="E7" i="66" s="1"/>
  <c r="E24" i="26"/>
  <c r="E25" i="26" s="1"/>
  <c r="E28" i="26" s="1"/>
  <c r="F7" i="66" s="1"/>
  <c r="B46" i="26"/>
  <c r="B48" i="26" s="1"/>
  <c r="D46" i="26"/>
  <c r="D48" i="26" s="1"/>
  <c r="E46" i="26"/>
  <c r="E48" i="26" s="1"/>
  <c r="C48" i="26"/>
  <c r="B71" i="26"/>
  <c r="E71" i="26"/>
  <c r="B76" i="26"/>
  <c r="C76" i="26"/>
  <c r="D76" i="26"/>
  <c r="E76" i="26"/>
  <c r="B77" i="26"/>
  <c r="C77" i="26" s="1"/>
  <c r="D77" i="26" s="1"/>
  <c r="B84" i="26"/>
  <c r="C84" i="26"/>
  <c r="D84" i="26"/>
  <c r="E84" i="26"/>
  <c r="E77" i="26" l="1"/>
  <c r="K77" i="26"/>
  <c r="M30" i="47"/>
  <c r="J28" i="26"/>
  <c r="M34" i="47"/>
  <c r="N34" i="47" s="1"/>
  <c r="L38" i="47"/>
  <c r="M38" i="47" s="1"/>
  <c r="N38" i="47" s="1"/>
  <c r="D122" i="137"/>
  <c r="K7" i="66"/>
  <c r="M29" i="47"/>
  <c r="N29" i="47" s="1"/>
  <c r="M33" i="47"/>
  <c r="N33" i="47" s="1"/>
  <c r="N30" i="47"/>
  <c r="N32" i="47"/>
  <c r="M31" i="47"/>
  <c r="N31" i="47" s="1"/>
  <c r="M35" i="47"/>
  <c r="N35" i="47" s="1"/>
  <c r="M91" i="11"/>
  <c r="N91" i="11" s="1"/>
  <c r="N59" i="44"/>
  <c r="M115" i="43"/>
  <c r="N115" i="43" s="1"/>
  <c r="M65" i="44"/>
  <c r="N65" i="44" s="1"/>
  <c r="B78" i="26"/>
  <c r="B90" i="26" s="1"/>
  <c r="D8" i="26"/>
  <c r="D9" i="26" l="1"/>
  <c r="E8" i="26" s="1"/>
  <c r="D13" i="26" l="1"/>
  <c r="D16" i="26" s="1"/>
  <c r="E6" i="66"/>
  <c r="E9" i="26"/>
  <c r="E13" i="26" s="1"/>
  <c r="E16" i="26" s="1"/>
  <c r="E78" i="26" l="1"/>
  <c r="E90" i="26" s="1"/>
  <c r="F6" i="66"/>
  <c r="F46" i="26"/>
  <c r="C28" i="66"/>
  <c r="N24" i="66"/>
  <c r="N23" i="66"/>
  <c r="N15" i="66"/>
  <c r="N11" i="66"/>
  <c r="N9" i="66"/>
  <c r="N7" i="66"/>
  <c r="O7" i="66" s="1"/>
  <c r="H51" i="66"/>
  <c r="H15" i="4" l="1"/>
  <c r="H18" i="4" s="1"/>
  <c r="P56" i="6"/>
  <c r="H59" i="6"/>
  <c r="H56" i="6"/>
  <c r="H29" i="6"/>
  <c r="I22" i="5"/>
  <c r="I12" i="5"/>
  <c r="H25" i="5"/>
  <c r="H22" i="5"/>
  <c r="H12" i="5"/>
  <c r="H11" i="11"/>
  <c r="H59" i="12"/>
  <c r="H14" i="12"/>
  <c r="H15" i="24"/>
  <c r="H40" i="24"/>
  <c r="I20" i="93"/>
  <c r="H26" i="93"/>
  <c r="H20" i="93"/>
  <c r="H20" i="54"/>
  <c r="H18" i="53"/>
  <c r="H20" i="53" s="1"/>
  <c r="H15" i="52"/>
  <c r="H61" i="51"/>
  <c r="H56" i="51"/>
  <c r="H31" i="51"/>
  <c r="H11" i="50"/>
  <c r="H14" i="50" s="1"/>
  <c r="H12" i="135"/>
  <c r="H15" i="135" s="1"/>
  <c r="H13" i="49"/>
  <c r="H27" i="49"/>
  <c r="H39" i="11"/>
  <c r="H15" i="11"/>
  <c r="H12" i="10"/>
  <c r="H15" i="10" s="1"/>
  <c r="H24" i="9"/>
  <c r="H11" i="9"/>
  <c r="H37" i="8"/>
  <c r="H12" i="7"/>
  <c r="H17" i="7" s="1"/>
  <c r="H25" i="22"/>
  <c r="H13" i="22"/>
  <c r="H18" i="18"/>
  <c r="H12" i="18"/>
  <c r="I50" i="17"/>
  <c r="I16" i="17"/>
  <c r="H76" i="66" l="1"/>
  <c r="H84" i="66"/>
  <c r="H103" i="66"/>
  <c r="H20" i="18"/>
  <c r="H91" i="66"/>
  <c r="H92" i="66"/>
  <c r="H22" i="54"/>
  <c r="H104" i="66"/>
  <c r="H115" i="66"/>
  <c r="H100" i="66"/>
  <c r="H27" i="22"/>
  <c r="H61" i="6"/>
  <c r="H27" i="5"/>
  <c r="H113" i="66" s="1"/>
  <c r="H64" i="12"/>
  <c r="H42" i="24"/>
  <c r="H120" i="66" s="1"/>
  <c r="H30" i="93"/>
  <c r="H64" i="51"/>
  <c r="H29" i="49"/>
  <c r="H44" i="11"/>
  <c r="H26" i="9"/>
  <c r="H39" i="8"/>
  <c r="H18" i="23"/>
  <c r="H13" i="23"/>
  <c r="H16" i="17"/>
  <c r="H50" i="17"/>
  <c r="H22" i="56"/>
  <c r="H12" i="56"/>
  <c r="H53" i="15"/>
  <c r="H52" i="15"/>
  <c r="H51" i="15"/>
  <c r="H50" i="15"/>
  <c r="H49" i="15"/>
  <c r="H47" i="15"/>
  <c r="H46" i="15"/>
  <c r="H45" i="15"/>
  <c r="H44" i="15"/>
  <c r="H43" i="15"/>
  <c r="H42" i="15"/>
  <c r="H41" i="15"/>
  <c r="H40" i="15"/>
  <c r="H39" i="15"/>
  <c r="H38" i="15"/>
  <c r="H37" i="15"/>
  <c r="H36" i="15"/>
  <c r="H35" i="15"/>
  <c r="H34" i="15"/>
  <c r="H33" i="15"/>
  <c r="H32" i="15"/>
  <c r="H31" i="15"/>
  <c r="H29" i="15"/>
  <c r="H28" i="15"/>
  <c r="H27" i="15"/>
  <c r="H26" i="15"/>
  <c r="H25" i="15"/>
  <c r="H24" i="15"/>
  <c r="H23" i="15"/>
  <c r="H22" i="15"/>
  <c r="H21" i="15"/>
  <c r="H20" i="15"/>
  <c r="H19" i="15"/>
  <c r="H16" i="15"/>
  <c r="H15" i="15"/>
  <c r="H14" i="15"/>
  <c r="H13" i="15"/>
  <c r="H12" i="15"/>
  <c r="H11" i="15"/>
  <c r="H10" i="15"/>
  <c r="H9" i="15"/>
  <c r="H14" i="13"/>
  <c r="H128" i="66" s="1"/>
  <c r="H11" i="13"/>
  <c r="H17" i="86"/>
  <c r="H10" i="86"/>
  <c r="H10" i="48"/>
  <c r="H12" i="48" s="1"/>
  <c r="H19" i="47"/>
  <c r="H64" i="66" s="1"/>
  <c r="H16" i="47"/>
  <c r="H63" i="66" s="1"/>
  <c r="H14" i="46"/>
  <c r="H10" i="46"/>
  <c r="H10" i="45"/>
  <c r="H12" i="45" s="1"/>
  <c r="H19" i="44"/>
  <c r="G19" i="44"/>
  <c r="F19" i="44"/>
  <c r="H32" i="44"/>
  <c r="H24" i="60"/>
  <c r="H19" i="60"/>
  <c r="H57" i="43"/>
  <c r="H54" i="43"/>
  <c r="H28" i="43"/>
  <c r="H39" i="87"/>
  <c r="H41" i="87" s="1"/>
  <c r="H15" i="41"/>
  <c r="H18" i="41" s="1"/>
  <c r="H29" i="40"/>
  <c r="H13" i="40"/>
  <c r="H36" i="38"/>
  <c r="H21" i="77"/>
  <c r="H24" i="149"/>
  <c r="H11" i="149"/>
  <c r="H12" i="36"/>
  <c r="H15" i="36" s="1"/>
  <c r="H16" i="35"/>
  <c r="H31" i="35"/>
  <c r="H37" i="34"/>
  <c r="H40" i="34"/>
  <c r="H43" i="66" s="1"/>
  <c r="H16" i="34"/>
  <c r="H25" i="33"/>
  <c r="H11" i="33"/>
  <c r="H11" i="32"/>
  <c r="H14" i="32" s="1"/>
  <c r="H16" i="31"/>
  <c r="H19" i="31" s="1"/>
  <c r="H34" i="30"/>
  <c r="H19" i="30"/>
  <c r="H10" i="29"/>
  <c r="H16" i="46" l="1"/>
  <c r="H24" i="56"/>
  <c r="H52" i="66"/>
  <c r="H39" i="66"/>
  <c r="H61" i="66"/>
  <c r="H45" i="66"/>
  <c r="H58" i="66"/>
  <c r="H40" i="66"/>
  <c r="H23" i="77"/>
  <c r="H47" i="66" s="1"/>
  <c r="H59" i="43"/>
  <c r="H57" i="66" s="1"/>
  <c r="H62" i="66"/>
  <c r="H65" i="66"/>
  <c r="H97" i="66"/>
  <c r="H83" i="66"/>
  <c r="H73" i="66"/>
  <c r="H27" i="33"/>
  <c r="H41" i="66" s="1"/>
  <c r="H50" i="66"/>
  <c r="H21" i="47"/>
  <c r="H90" i="66"/>
  <c r="H106" i="66"/>
  <c r="H42" i="34"/>
  <c r="H114" i="66"/>
  <c r="H89" i="66"/>
  <c r="H74" i="66"/>
  <c r="H111" i="66"/>
  <c r="H82" i="66"/>
  <c r="H19" i="13"/>
  <c r="H127" i="66"/>
  <c r="H129" i="66" s="1"/>
  <c r="I54" i="43"/>
  <c r="I19" i="44"/>
  <c r="H20" i="23"/>
  <c r="H55" i="17"/>
  <c r="H55" i="15"/>
  <c r="H17" i="15"/>
  <c r="H19" i="86"/>
  <c r="H34" i="44"/>
  <c r="H26" i="60"/>
  <c r="H31" i="40"/>
  <c r="H38" i="38"/>
  <c r="H26" i="149"/>
  <c r="H33" i="35"/>
  <c r="H36" i="30"/>
  <c r="H21" i="29"/>
  <c r="H23" i="29" s="1"/>
  <c r="I18" i="2"/>
  <c r="H86" i="66" l="1"/>
  <c r="H117" i="66"/>
  <c r="H94" i="66"/>
  <c r="H44" i="66"/>
  <c r="H37" i="66"/>
  <c r="H66" i="66"/>
  <c r="H48" i="66"/>
  <c r="H59" i="66"/>
  <c r="H60" i="66"/>
  <c r="H46" i="66"/>
  <c r="H38" i="66"/>
  <c r="H49" i="66"/>
  <c r="H42" i="66"/>
  <c r="H60" i="15"/>
  <c r="H54" i="66" l="1"/>
  <c r="H68" i="66"/>
  <c r="H71" i="66"/>
  <c r="H78" i="66" s="1"/>
  <c r="H108" i="66" l="1"/>
  <c r="H133" i="66" s="1"/>
  <c r="G26" i="43" l="1"/>
  <c r="T199" i="66" l="1"/>
  <c r="I18" i="66" l="1"/>
  <c r="O192" i="66" l="1"/>
  <c r="O191" i="66"/>
  <c r="I22" i="144" l="1"/>
  <c r="H11" i="144"/>
  <c r="H22" i="144" s="1"/>
  <c r="H13" i="144"/>
  <c r="N57" i="15" l="1"/>
  <c r="N58" i="15" s="1"/>
  <c r="I57" i="15"/>
  <c r="N53" i="17"/>
  <c r="O53" i="17"/>
  <c r="O57" i="15" s="1"/>
  <c r="I53" i="17"/>
  <c r="P53" i="17" l="1"/>
  <c r="I58" i="15"/>
  <c r="O58" i="15"/>
  <c r="M72" i="66" s="1"/>
  <c r="C72" i="143"/>
  <c r="P57" i="15"/>
  <c r="P58" i="15" l="1"/>
  <c r="N72" i="66" s="1"/>
  <c r="P56" i="43"/>
  <c r="P57" i="43" l="1"/>
  <c r="N58" i="66" s="1"/>
  <c r="G64" i="66" l="1"/>
  <c r="F64" i="66"/>
  <c r="E64" i="66"/>
  <c r="D64" i="66"/>
  <c r="C64" i="66"/>
  <c r="G51" i="66"/>
  <c r="F51" i="66"/>
  <c r="E51" i="66"/>
  <c r="D51" i="66"/>
  <c r="C51" i="66"/>
  <c r="I51" i="66"/>
  <c r="E11" i="50" l="1"/>
  <c r="E14" i="50" s="1"/>
  <c r="E92" i="66" l="1"/>
  <c r="P11" i="50"/>
  <c r="E36" i="38" l="1"/>
  <c r="E18" i="38"/>
  <c r="E21" i="77"/>
  <c r="E23" i="77" s="1"/>
  <c r="E47" i="66" l="1"/>
  <c r="E38" i="38"/>
  <c r="O15" i="44"/>
  <c r="E48" i="66" l="1"/>
  <c r="M61" i="44" l="1"/>
  <c r="N61" i="44" s="1"/>
  <c r="G12" i="36"/>
  <c r="G15" i="36" s="1"/>
  <c r="G45" i="66" s="1"/>
  <c r="O147" i="66" l="1"/>
  <c r="O57" i="43"/>
  <c r="O54" i="43"/>
  <c r="P54" i="43" l="1"/>
  <c r="M58" i="66"/>
  <c r="O148" i="66"/>
  <c r="O149" i="66"/>
  <c r="M66" i="24"/>
  <c r="N66" i="24" s="1"/>
  <c r="L43" i="9" l="1"/>
  <c r="M43" i="9" l="1"/>
  <c r="N43" i="9" s="1"/>
  <c r="C71" i="143" l="1"/>
  <c r="J84" i="143" s="1"/>
  <c r="AI41" i="159" l="1"/>
  <c r="AH41" i="159"/>
  <c r="AG41" i="159"/>
  <c r="AF41" i="159"/>
  <c r="AE41" i="159"/>
  <c r="AD41" i="159"/>
  <c r="AC41" i="159"/>
  <c r="AB41" i="159"/>
  <c r="AA41" i="159"/>
  <c r="Z41" i="159"/>
  <c r="Y41" i="159"/>
  <c r="X41" i="159"/>
  <c r="W41" i="159"/>
  <c r="V41" i="159"/>
  <c r="U41" i="159"/>
  <c r="T41" i="159"/>
  <c r="S41" i="159"/>
  <c r="R41" i="159"/>
  <c r="Q41" i="159"/>
  <c r="P41" i="159"/>
  <c r="O41" i="159"/>
  <c r="N41" i="159"/>
  <c r="M41" i="159"/>
  <c r="L41" i="159"/>
  <c r="K41" i="159"/>
  <c r="J41" i="159"/>
  <c r="I41" i="159"/>
  <c r="H41" i="159"/>
  <c r="G41" i="159"/>
  <c r="F41" i="159"/>
  <c r="E41" i="159"/>
  <c r="AI40" i="159"/>
  <c r="AH40" i="159"/>
  <c r="AG40" i="159"/>
  <c r="AF40" i="159"/>
  <c r="AE40" i="159"/>
  <c r="AD40" i="159"/>
  <c r="AC40" i="159"/>
  <c r="AB40" i="159"/>
  <c r="AA40" i="159"/>
  <c r="Z40" i="159"/>
  <c r="Y40" i="159"/>
  <c r="X40" i="159"/>
  <c r="W40" i="159"/>
  <c r="V40" i="159"/>
  <c r="U40" i="159"/>
  <c r="T40" i="159"/>
  <c r="S40" i="159"/>
  <c r="R40" i="159"/>
  <c r="Q40" i="159"/>
  <c r="P40" i="159"/>
  <c r="O40" i="159"/>
  <c r="N40" i="159"/>
  <c r="M40" i="159"/>
  <c r="L40" i="159"/>
  <c r="K40" i="159"/>
  <c r="J40" i="159"/>
  <c r="I40" i="159"/>
  <c r="H40" i="159"/>
  <c r="G40" i="159"/>
  <c r="F40" i="159"/>
  <c r="E40" i="159"/>
  <c r="AI39" i="159"/>
  <c r="AH39" i="159"/>
  <c r="AG39" i="159"/>
  <c r="AF39" i="159"/>
  <c r="AE39" i="159"/>
  <c r="AD39" i="159"/>
  <c r="AC39" i="159"/>
  <c r="AB39" i="159"/>
  <c r="AA39" i="159"/>
  <c r="Z39" i="159"/>
  <c r="Y39" i="159"/>
  <c r="X39" i="159"/>
  <c r="W39" i="159"/>
  <c r="V39" i="159"/>
  <c r="U39" i="159"/>
  <c r="T39" i="159"/>
  <c r="S39" i="159"/>
  <c r="R39" i="159"/>
  <c r="Q39" i="159"/>
  <c r="P39" i="159"/>
  <c r="O39" i="159"/>
  <c r="N39" i="159"/>
  <c r="M39" i="159"/>
  <c r="L39" i="159"/>
  <c r="K39" i="159"/>
  <c r="J39" i="159"/>
  <c r="I39" i="159"/>
  <c r="H39" i="159"/>
  <c r="G39" i="159"/>
  <c r="F39" i="159"/>
  <c r="E39" i="159"/>
  <c r="AI38" i="159"/>
  <c r="AH38" i="159"/>
  <c r="AG38" i="159"/>
  <c r="AF38" i="159"/>
  <c r="AE38" i="159"/>
  <c r="AD38" i="159"/>
  <c r="AC38" i="159"/>
  <c r="AB38" i="159"/>
  <c r="AA38" i="159"/>
  <c r="Z38" i="159"/>
  <c r="Y38" i="159"/>
  <c r="X38" i="159"/>
  <c r="W38" i="159"/>
  <c r="V38" i="159"/>
  <c r="U38" i="159"/>
  <c r="T38" i="159"/>
  <c r="S38" i="159"/>
  <c r="R38" i="159"/>
  <c r="Q38" i="159"/>
  <c r="P38" i="159"/>
  <c r="O38" i="159"/>
  <c r="N38" i="159"/>
  <c r="M38" i="159"/>
  <c r="L38" i="159"/>
  <c r="K38" i="159"/>
  <c r="J38" i="159"/>
  <c r="I38" i="159"/>
  <c r="H38" i="159"/>
  <c r="G38" i="159"/>
  <c r="F38" i="159"/>
  <c r="E38" i="159"/>
  <c r="D41" i="159"/>
  <c r="D40" i="159"/>
  <c r="D39" i="159"/>
  <c r="D38" i="159"/>
  <c r="D124" i="159" l="1"/>
  <c r="AI37" i="159"/>
  <c r="AH37" i="159"/>
  <c r="AG37" i="159"/>
  <c r="AF37" i="159"/>
  <c r="AE37" i="159"/>
  <c r="AD37" i="159"/>
  <c r="AC37" i="159"/>
  <c r="AB37" i="159"/>
  <c r="AA37" i="159"/>
  <c r="Z37" i="159"/>
  <c r="Y37" i="159"/>
  <c r="X37" i="159"/>
  <c r="W37" i="159"/>
  <c r="V37" i="159"/>
  <c r="U37" i="159"/>
  <c r="T37" i="159"/>
  <c r="S37" i="159"/>
  <c r="R37" i="159"/>
  <c r="Q37" i="159"/>
  <c r="P37" i="159"/>
  <c r="O37" i="159"/>
  <c r="N37" i="159"/>
  <c r="M37" i="159"/>
  <c r="L37" i="159"/>
  <c r="K37" i="159"/>
  <c r="J37" i="159"/>
  <c r="I37" i="159"/>
  <c r="H37" i="159"/>
  <c r="G37" i="159"/>
  <c r="F37" i="159"/>
  <c r="E37" i="159"/>
  <c r="AI36" i="159"/>
  <c r="AH36" i="159"/>
  <c r="AG36" i="159"/>
  <c r="AF36" i="159"/>
  <c r="AE36" i="159"/>
  <c r="AD36" i="159"/>
  <c r="AC36" i="159"/>
  <c r="AB36" i="159"/>
  <c r="AA36" i="159"/>
  <c r="Z36" i="159"/>
  <c r="Y36" i="159"/>
  <c r="X36" i="159"/>
  <c r="W36" i="159"/>
  <c r="V36" i="159"/>
  <c r="U36" i="159"/>
  <c r="T36" i="159"/>
  <c r="S36" i="159"/>
  <c r="R36" i="159"/>
  <c r="Q36" i="159"/>
  <c r="P36" i="159"/>
  <c r="O36" i="159"/>
  <c r="N36" i="159"/>
  <c r="M36" i="159"/>
  <c r="L36" i="159"/>
  <c r="K36" i="159"/>
  <c r="J36" i="159"/>
  <c r="I36" i="159"/>
  <c r="H36" i="159"/>
  <c r="G36" i="159"/>
  <c r="F36" i="159"/>
  <c r="E36" i="159"/>
  <c r="D36" i="159"/>
  <c r="D37" i="159"/>
  <c r="AI30" i="159" l="1"/>
  <c r="AH30" i="159"/>
  <c r="AG30" i="159"/>
  <c r="AF30" i="159"/>
  <c r="AE30" i="159"/>
  <c r="AD30" i="159"/>
  <c r="AC30" i="159"/>
  <c r="AB30" i="159"/>
  <c r="AA30" i="159"/>
  <c r="Z30" i="159"/>
  <c r="Y30" i="159"/>
  <c r="X30" i="159"/>
  <c r="W30" i="159"/>
  <c r="V30" i="159"/>
  <c r="U30" i="159"/>
  <c r="T30" i="159"/>
  <c r="S30" i="159"/>
  <c r="R30" i="159"/>
  <c r="Q30" i="159"/>
  <c r="P30" i="159"/>
  <c r="O30" i="159"/>
  <c r="N30" i="159"/>
  <c r="M30" i="159"/>
  <c r="L30" i="159"/>
  <c r="K30" i="159"/>
  <c r="J30" i="159"/>
  <c r="I30" i="159"/>
  <c r="H30" i="159"/>
  <c r="G30" i="159"/>
  <c r="F30" i="159"/>
  <c r="E30" i="159"/>
  <c r="AI29" i="159"/>
  <c r="AH29" i="159"/>
  <c r="AG29" i="159"/>
  <c r="AF29" i="159"/>
  <c r="AE29" i="159"/>
  <c r="AD29" i="159"/>
  <c r="AC29" i="159"/>
  <c r="AB29" i="159"/>
  <c r="AA29" i="159"/>
  <c r="Z29" i="159"/>
  <c r="Y29" i="159"/>
  <c r="X29" i="159"/>
  <c r="W29" i="159"/>
  <c r="V29" i="159"/>
  <c r="U29" i="159"/>
  <c r="T29" i="159"/>
  <c r="S29" i="159"/>
  <c r="R29" i="159"/>
  <c r="Q29" i="159"/>
  <c r="P29" i="159"/>
  <c r="O29" i="159"/>
  <c r="N29" i="159"/>
  <c r="M29" i="159"/>
  <c r="L29" i="159"/>
  <c r="K29" i="159"/>
  <c r="J29" i="159"/>
  <c r="I29" i="159"/>
  <c r="H29" i="159"/>
  <c r="G29" i="159"/>
  <c r="F29" i="159"/>
  <c r="E29" i="159"/>
  <c r="AI28" i="159"/>
  <c r="AH28" i="159"/>
  <c r="AG28" i="159"/>
  <c r="AF28" i="159"/>
  <c r="AE28" i="159"/>
  <c r="AD28" i="159"/>
  <c r="AC28" i="159"/>
  <c r="AB28" i="159"/>
  <c r="AA28" i="159"/>
  <c r="Z28" i="159"/>
  <c r="Y28" i="159"/>
  <c r="X28" i="159"/>
  <c r="W28" i="159"/>
  <c r="V28" i="159"/>
  <c r="U28" i="159"/>
  <c r="T28" i="159"/>
  <c r="S28" i="159"/>
  <c r="R28" i="159"/>
  <c r="Q28" i="159"/>
  <c r="P28" i="159"/>
  <c r="O28" i="159"/>
  <c r="N28" i="159"/>
  <c r="M28" i="159"/>
  <c r="L28" i="159"/>
  <c r="K28" i="159"/>
  <c r="J28" i="159"/>
  <c r="I28" i="159"/>
  <c r="AI22" i="159"/>
  <c r="AH22" i="159"/>
  <c r="AG22" i="159"/>
  <c r="AF22" i="159"/>
  <c r="AE22" i="159"/>
  <c r="AD22" i="159"/>
  <c r="AC22" i="159"/>
  <c r="AB22" i="159"/>
  <c r="AA22" i="159"/>
  <c r="Z22" i="159"/>
  <c r="Y22" i="159"/>
  <c r="X22" i="159"/>
  <c r="W22" i="159"/>
  <c r="V22" i="159"/>
  <c r="U22" i="159"/>
  <c r="T22" i="159"/>
  <c r="S22" i="159"/>
  <c r="R22" i="159"/>
  <c r="Q22" i="159"/>
  <c r="P22" i="159"/>
  <c r="O22" i="159"/>
  <c r="N22" i="159"/>
  <c r="M22" i="159"/>
  <c r="L22" i="159"/>
  <c r="K22" i="159"/>
  <c r="J22" i="159"/>
  <c r="I22" i="159"/>
  <c r="H22" i="159"/>
  <c r="G22" i="159"/>
  <c r="F22" i="159"/>
  <c r="E22" i="159"/>
  <c r="AI21" i="159"/>
  <c r="AH21" i="159"/>
  <c r="AG21" i="159"/>
  <c r="AF21" i="159"/>
  <c r="AE21" i="159"/>
  <c r="AD21" i="159"/>
  <c r="AC21" i="159"/>
  <c r="AB21" i="159"/>
  <c r="AA21" i="159"/>
  <c r="Z21" i="159"/>
  <c r="Y21" i="159"/>
  <c r="X21" i="159"/>
  <c r="W21" i="159"/>
  <c r="V21" i="159"/>
  <c r="U21" i="159"/>
  <c r="T21" i="159"/>
  <c r="S21" i="159"/>
  <c r="R21" i="159"/>
  <c r="Q21" i="159"/>
  <c r="P21" i="159"/>
  <c r="O21" i="159"/>
  <c r="N21" i="159"/>
  <c r="M21" i="159"/>
  <c r="L21" i="159"/>
  <c r="D22" i="159"/>
  <c r="K86" i="159"/>
  <c r="J86" i="159"/>
  <c r="I86" i="159"/>
  <c r="H86" i="159"/>
  <c r="G86" i="159"/>
  <c r="F86" i="159"/>
  <c r="E86" i="159"/>
  <c r="D86" i="159"/>
  <c r="K65" i="159"/>
  <c r="K21" i="159" s="1"/>
  <c r="J65" i="159"/>
  <c r="J21" i="159" s="1"/>
  <c r="I65" i="159"/>
  <c r="I21" i="159" s="1"/>
  <c r="H65" i="159"/>
  <c r="H21" i="159" s="1"/>
  <c r="G65" i="159"/>
  <c r="G21" i="159" s="1"/>
  <c r="F65" i="159"/>
  <c r="F21" i="159" s="1"/>
  <c r="E65" i="159"/>
  <c r="E21" i="159" s="1"/>
  <c r="D65" i="159"/>
  <c r="D21" i="159" s="1"/>
  <c r="AI19" i="159"/>
  <c r="AH19" i="159"/>
  <c r="AG19" i="159"/>
  <c r="AF19" i="159"/>
  <c r="AE19" i="159"/>
  <c r="AD19" i="159"/>
  <c r="AC19" i="159"/>
  <c r="AB19" i="159"/>
  <c r="AA19" i="159"/>
  <c r="Z19" i="159"/>
  <c r="Y19" i="159"/>
  <c r="X19" i="159"/>
  <c r="W19" i="159"/>
  <c r="V19" i="159"/>
  <c r="U19" i="159"/>
  <c r="T19" i="159"/>
  <c r="S19" i="159"/>
  <c r="R19" i="159"/>
  <c r="Q19" i="159"/>
  <c r="P19" i="159"/>
  <c r="O19" i="159"/>
  <c r="N19" i="159"/>
  <c r="M19" i="159"/>
  <c r="L19" i="159"/>
  <c r="K19" i="159"/>
  <c r="J19" i="159"/>
  <c r="I19" i="159"/>
  <c r="H19" i="159"/>
  <c r="G19" i="159"/>
  <c r="F19" i="159"/>
  <c r="E19" i="159"/>
  <c r="AI18" i="159"/>
  <c r="AH18" i="159"/>
  <c r="AG18" i="159"/>
  <c r="AF18" i="159"/>
  <c r="AE18" i="159"/>
  <c r="AD18" i="159"/>
  <c r="AC18" i="159"/>
  <c r="AB18" i="159"/>
  <c r="AA18" i="159"/>
  <c r="Z18" i="159"/>
  <c r="Y18" i="159"/>
  <c r="X18" i="159"/>
  <c r="W18" i="159"/>
  <c r="V18" i="159"/>
  <c r="U18" i="159"/>
  <c r="T18" i="159"/>
  <c r="S18" i="159"/>
  <c r="R18" i="159"/>
  <c r="Q18" i="159"/>
  <c r="P18" i="159"/>
  <c r="O18" i="159"/>
  <c r="N18" i="159"/>
  <c r="M18" i="159"/>
  <c r="L18" i="159"/>
  <c r="K18" i="159"/>
  <c r="J18" i="159"/>
  <c r="I18" i="159"/>
  <c r="H18" i="159"/>
  <c r="G18" i="159"/>
  <c r="F18" i="159"/>
  <c r="E18" i="159"/>
  <c r="AI17" i="159"/>
  <c r="AH17" i="159"/>
  <c r="AG17" i="159"/>
  <c r="AF17" i="159"/>
  <c r="AE17" i="159"/>
  <c r="AD17" i="159"/>
  <c r="AC17" i="159"/>
  <c r="AB17" i="159"/>
  <c r="AA17" i="159"/>
  <c r="Z17" i="159"/>
  <c r="Y17" i="159"/>
  <c r="X17" i="159"/>
  <c r="W17" i="159"/>
  <c r="V17" i="159"/>
  <c r="U17" i="159"/>
  <c r="T17" i="159"/>
  <c r="S17" i="159"/>
  <c r="R17" i="159"/>
  <c r="Q17" i="159"/>
  <c r="P17" i="159"/>
  <c r="O17" i="159"/>
  <c r="N17" i="159"/>
  <c r="M17" i="159"/>
  <c r="L17" i="159"/>
  <c r="K17" i="159"/>
  <c r="J17" i="159"/>
  <c r="I17" i="159"/>
  <c r="H17" i="159"/>
  <c r="G17" i="159"/>
  <c r="F17" i="159"/>
  <c r="E17" i="159"/>
  <c r="AI16" i="159"/>
  <c r="AH16" i="159"/>
  <c r="AG16" i="159"/>
  <c r="AF16" i="159"/>
  <c r="AE16" i="159"/>
  <c r="AD16" i="159"/>
  <c r="AC16" i="159"/>
  <c r="AB16" i="159"/>
  <c r="AA16" i="159"/>
  <c r="Z16" i="159"/>
  <c r="Y16" i="159"/>
  <c r="X16" i="159"/>
  <c r="W16" i="159"/>
  <c r="V16" i="159"/>
  <c r="U16" i="159"/>
  <c r="T16" i="159"/>
  <c r="S16" i="159"/>
  <c r="R16" i="159"/>
  <c r="Q16" i="159"/>
  <c r="P16" i="159"/>
  <c r="O16" i="159"/>
  <c r="N16" i="159"/>
  <c r="M16" i="159"/>
  <c r="L16" i="159"/>
  <c r="K16" i="159"/>
  <c r="J16" i="159"/>
  <c r="I16" i="159"/>
  <c r="H16" i="159"/>
  <c r="G16" i="159"/>
  <c r="F16" i="159"/>
  <c r="E16" i="159"/>
  <c r="AI15" i="159"/>
  <c r="AH15" i="159"/>
  <c r="AG15" i="159"/>
  <c r="AF15" i="159"/>
  <c r="AE15" i="159"/>
  <c r="AD15" i="159"/>
  <c r="AC15" i="159"/>
  <c r="AB15" i="159"/>
  <c r="AA15" i="159"/>
  <c r="Z15" i="159"/>
  <c r="Y15" i="159"/>
  <c r="X15" i="159"/>
  <c r="W15" i="159"/>
  <c r="V15" i="159"/>
  <c r="U15" i="159"/>
  <c r="T15" i="159"/>
  <c r="S15" i="159"/>
  <c r="R15" i="159"/>
  <c r="Q15" i="159"/>
  <c r="P15" i="159"/>
  <c r="O15" i="159"/>
  <c r="N15" i="159"/>
  <c r="M15" i="159"/>
  <c r="L15" i="159"/>
  <c r="K15" i="159"/>
  <c r="J15" i="159"/>
  <c r="I15" i="159"/>
  <c r="H15" i="159"/>
  <c r="G15" i="159"/>
  <c r="F15" i="159"/>
  <c r="E15" i="159"/>
  <c r="AI14" i="159"/>
  <c r="AH14" i="159"/>
  <c r="AG14" i="159"/>
  <c r="AF14" i="159"/>
  <c r="AE14" i="159"/>
  <c r="AD14" i="159"/>
  <c r="AC14" i="159"/>
  <c r="AB14" i="159"/>
  <c r="AA14" i="159"/>
  <c r="Z14" i="159"/>
  <c r="Y14" i="159"/>
  <c r="X14" i="159"/>
  <c r="W14" i="159"/>
  <c r="V14" i="159"/>
  <c r="U14" i="159"/>
  <c r="T14" i="159"/>
  <c r="S14" i="159"/>
  <c r="R14" i="159"/>
  <c r="Q14" i="159"/>
  <c r="P14" i="159"/>
  <c r="O14" i="159"/>
  <c r="N14" i="159"/>
  <c r="M14" i="159"/>
  <c r="L14" i="159"/>
  <c r="K14" i="159"/>
  <c r="J14" i="159"/>
  <c r="I14" i="159"/>
  <c r="H14" i="159"/>
  <c r="G14" i="159"/>
  <c r="F14" i="159"/>
  <c r="E14" i="159"/>
  <c r="AI13" i="159"/>
  <c r="AH13" i="159"/>
  <c r="AG13" i="159"/>
  <c r="AF13" i="159"/>
  <c r="AE13" i="159"/>
  <c r="AD13" i="159"/>
  <c r="AC13" i="159"/>
  <c r="AB13" i="159"/>
  <c r="AA13" i="159"/>
  <c r="Z13" i="159"/>
  <c r="Y13" i="159"/>
  <c r="X13" i="159"/>
  <c r="W13" i="159"/>
  <c r="V13" i="159"/>
  <c r="U13" i="159"/>
  <c r="T13" i="159"/>
  <c r="S13" i="159"/>
  <c r="R13" i="159"/>
  <c r="Q13" i="159"/>
  <c r="P13" i="159"/>
  <c r="O13" i="159"/>
  <c r="N13" i="159"/>
  <c r="M13" i="159"/>
  <c r="D18" i="159"/>
  <c r="D17" i="159"/>
  <c r="D16" i="159"/>
  <c r="D15" i="159"/>
  <c r="D14" i="159"/>
  <c r="D19" i="159"/>
  <c r="D29" i="159" l="1"/>
  <c r="AI8" i="159"/>
  <c r="AH8" i="159"/>
  <c r="AG8" i="159"/>
  <c r="AF8" i="159"/>
  <c r="AE8" i="159"/>
  <c r="AD8" i="159"/>
  <c r="AC8" i="159"/>
  <c r="AB8" i="159"/>
  <c r="AA8" i="159"/>
  <c r="Z8" i="159"/>
  <c r="Y8" i="159"/>
  <c r="X8" i="159"/>
  <c r="W8" i="159"/>
  <c r="V8" i="159"/>
  <c r="U8" i="159"/>
  <c r="T8" i="159"/>
  <c r="S8" i="159"/>
  <c r="R8" i="159"/>
  <c r="Q8" i="159"/>
  <c r="P8" i="159"/>
  <c r="O8" i="159"/>
  <c r="N8" i="159"/>
  <c r="M8" i="159"/>
  <c r="AI7" i="159"/>
  <c r="AH7" i="159"/>
  <c r="AG7" i="159"/>
  <c r="AF7" i="159"/>
  <c r="AE7" i="159"/>
  <c r="AD7" i="159"/>
  <c r="AC7" i="159"/>
  <c r="AB7" i="159"/>
  <c r="AA7" i="159"/>
  <c r="Z7" i="159"/>
  <c r="Y7" i="159"/>
  <c r="X7" i="159"/>
  <c r="W7" i="159"/>
  <c r="V7" i="159"/>
  <c r="U7" i="159"/>
  <c r="T7" i="159"/>
  <c r="S7" i="159"/>
  <c r="R7" i="159"/>
  <c r="Q7" i="159"/>
  <c r="P7" i="159"/>
  <c r="O7" i="159"/>
  <c r="N7" i="159"/>
  <c r="M7" i="159"/>
  <c r="AI6" i="159"/>
  <c r="AH6" i="159"/>
  <c r="AG6" i="159"/>
  <c r="AF6" i="159"/>
  <c r="AE6" i="159"/>
  <c r="AD6" i="159"/>
  <c r="AC6" i="159"/>
  <c r="AB6" i="159"/>
  <c r="AA6" i="159"/>
  <c r="Z6" i="159"/>
  <c r="Y6" i="159"/>
  <c r="X6" i="159"/>
  <c r="W6" i="159"/>
  <c r="V6" i="159"/>
  <c r="U6" i="159"/>
  <c r="T6" i="159"/>
  <c r="S6" i="159"/>
  <c r="R6" i="159"/>
  <c r="Q6" i="159"/>
  <c r="P6" i="159"/>
  <c r="O6" i="159"/>
  <c r="N6" i="159"/>
  <c r="M6" i="159"/>
  <c r="L6" i="159"/>
  <c r="K6" i="159"/>
  <c r="J6" i="159"/>
  <c r="I6" i="159"/>
  <c r="H6" i="159"/>
  <c r="G6" i="159"/>
  <c r="F6" i="159"/>
  <c r="E6" i="159"/>
  <c r="D20" i="159"/>
  <c r="AI162" i="159" l="1"/>
  <c r="AH162" i="159"/>
  <c r="AG162" i="159"/>
  <c r="AF162" i="159"/>
  <c r="AE162" i="159"/>
  <c r="AD162" i="159"/>
  <c r="AC162" i="159"/>
  <c r="AB162" i="159"/>
  <c r="AA162" i="159"/>
  <c r="Z162" i="159"/>
  <c r="Y162" i="159"/>
  <c r="X162" i="159"/>
  <c r="W162" i="159"/>
  <c r="V162" i="159"/>
  <c r="U162" i="159"/>
  <c r="T162" i="159"/>
  <c r="S162" i="159"/>
  <c r="R162" i="159"/>
  <c r="Q162" i="159"/>
  <c r="P162" i="159"/>
  <c r="O162" i="159"/>
  <c r="N162" i="159"/>
  <c r="M162" i="159"/>
  <c r="L162" i="159"/>
  <c r="K162" i="159"/>
  <c r="J162" i="159"/>
  <c r="I162" i="159"/>
  <c r="H162" i="159"/>
  <c r="G162" i="159"/>
  <c r="F162" i="159"/>
  <c r="E162" i="159"/>
  <c r="D162" i="159"/>
  <c r="C162" i="159"/>
  <c r="C178" i="159" s="1"/>
  <c r="C119" i="159" s="1"/>
  <c r="AI161" i="159"/>
  <c r="AI177" i="159" s="1"/>
  <c r="AI118" i="159" s="1"/>
  <c r="AH161" i="159"/>
  <c r="AG161" i="159"/>
  <c r="AG177" i="159" s="1"/>
  <c r="AG118" i="159" s="1"/>
  <c r="AF161" i="159"/>
  <c r="AE161" i="159"/>
  <c r="AE177" i="159" s="1"/>
  <c r="AE118" i="159" s="1"/>
  <c r="AD161" i="159"/>
  <c r="AC161" i="159"/>
  <c r="AC177" i="159" s="1"/>
  <c r="AC118" i="159" s="1"/>
  <c r="AB161" i="159"/>
  <c r="AA161" i="159"/>
  <c r="AA177" i="159" s="1"/>
  <c r="AA118" i="159" s="1"/>
  <c r="Z161" i="159"/>
  <c r="Y161" i="159"/>
  <c r="Y177" i="159" s="1"/>
  <c r="Y118" i="159" s="1"/>
  <c r="X161" i="159"/>
  <c r="W161" i="159"/>
  <c r="W177" i="159" s="1"/>
  <c r="W118" i="159" s="1"/>
  <c r="V161" i="159"/>
  <c r="U161" i="159"/>
  <c r="U177" i="159" s="1"/>
  <c r="U118" i="159" s="1"/>
  <c r="T161" i="159"/>
  <c r="S161" i="159"/>
  <c r="S177" i="159" s="1"/>
  <c r="S118" i="159" s="1"/>
  <c r="R161" i="159"/>
  <c r="Q161" i="159"/>
  <c r="Q177" i="159" s="1"/>
  <c r="Q118" i="159" s="1"/>
  <c r="P161" i="159"/>
  <c r="O161" i="159"/>
  <c r="O177" i="159" s="1"/>
  <c r="O118" i="159" s="1"/>
  <c r="N161" i="159"/>
  <c r="M161" i="159"/>
  <c r="M177" i="159" s="1"/>
  <c r="M118" i="159" s="1"/>
  <c r="L161" i="159"/>
  <c r="K161" i="159"/>
  <c r="K177" i="159" s="1"/>
  <c r="K118" i="159" s="1"/>
  <c r="J161" i="159"/>
  <c r="I161" i="159"/>
  <c r="I177" i="159" s="1"/>
  <c r="I118" i="159" s="1"/>
  <c r="H161" i="159"/>
  <c r="G161" i="159"/>
  <c r="G177" i="159" s="1"/>
  <c r="G118" i="159" s="1"/>
  <c r="F161" i="159"/>
  <c r="E161" i="159"/>
  <c r="E177" i="159" s="1"/>
  <c r="E118" i="159" s="1"/>
  <c r="D161" i="159"/>
  <c r="C161" i="159"/>
  <c r="C177" i="159" s="1"/>
  <c r="C118" i="159" s="1"/>
  <c r="AI160" i="159"/>
  <c r="AH160" i="159"/>
  <c r="AG160" i="159"/>
  <c r="AG176" i="159" s="1"/>
  <c r="AG117" i="159" s="1"/>
  <c r="AF160" i="159"/>
  <c r="AF176" i="159" s="1"/>
  <c r="AF117" i="159" s="1"/>
  <c r="AE160" i="159"/>
  <c r="AD160" i="159"/>
  <c r="AC160" i="159"/>
  <c r="AC176" i="159" s="1"/>
  <c r="AC117" i="159" s="1"/>
  <c r="AB160" i="159"/>
  <c r="AB176" i="159" s="1"/>
  <c r="AB117" i="159" s="1"/>
  <c r="AA160" i="159"/>
  <c r="Z160" i="159"/>
  <c r="Y160" i="159"/>
  <c r="Y176" i="159" s="1"/>
  <c r="Y117" i="159" s="1"/>
  <c r="X160" i="159"/>
  <c r="X176" i="159" s="1"/>
  <c r="X117" i="159" s="1"/>
  <c r="W160" i="159"/>
  <c r="V160" i="159"/>
  <c r="U160" i="159"/>
  <c r="U176" i="159" s="1"/>
  <c r="U117" i="159" s="1"/>
  <c r="T160" i="159"/>
  <c r="T176" i="159" s="1"/>
  <c r="T117" i="159" s="1"/>
  <c r="S160" i="159"/>
  <c r="R160" i="159"/>
  <c r="Q160" i="159"/>
  <c r="Q176" i="159" s="1"/>
  <c r="Q117" i="159" s="1"/>
  <c r="P160" i="159"/>
  <c r="P176" i="159" s="1"/>
  <c r="P117" i="159" s="1"/>
  <c r="O160" i="159"/>
  <c r="N160" i="159"/>
  <c r="M160" i="159"/>
  <c r="M176" i="159" s="1"/>
  <c r="M117" i="159" s="1"/>
  <c r="L160" i="159"/>
  <c r="L176" i="159" s="1"/>
  <c r="L117" i="159" s="1"/>
  <c r="K160" i="159"/>
  <c r="J160" i="159"/>
  <c r="I160" i="159"/>
  <c r="I176" i="159" s="1"/>
  <c r="I117" i="159" s="1"/>
  <c r="H160" i="159"/>
  <c r="H176" i="159" s="1"/>
  <c r="H117" i="159" s="1"/>
  <c r="G160" i="159"/>
  <c r="G176" i="159" s="1"/>
  <c r="G117" i="159" s="1"/>
  <c r="F160" i="159"/>
  <c r="E160" i="159"/>
  <c r="E176" i="159" s="1"/>
  <c r="E117" i="159" s="1"/>
  <c r="D160" i="159"/>
  <c r="D176" i="159" s="1"/>
  <c r="D117" i="159" s="1"/>
  <c r="C160" i="159"/>
  <c r="C176" i="159" s="1"/>
  <c r="C117" i="159" s="1"/>
  <c r="AI159" i="159"/>
  <c r="AI175" i="159" s="1"/>
  <c r="AI116" i="159" s="1"/>
  <c r="AH159" i="159"/>
  <c r="AG159" i="159"/>
  <c r="AG175" i="159" s="1"/>
  <c r="AG116" i="159" s="1"/>
  <c r="AF159" i="159"/>
  <c r="AE159" i="159"/>
  <c r="AE175" i="159" s="1"/>
  <c r="AE116" i="159" s="1"/>
  <c r="AD159" i="159"/>
  <c r="AC159" i="159"/>
  <c r="AC175" i="159" s="1"/>
  <c r="AC116" i="159" s="1"/>
  <c r="AB159" i="159"/>
  <c r="AA159" i="159"/>
  <c r="AA175" i="159" s="1"/>
  <c r="AA116" i="159" s="1"/>
  <c r="Z159" i="159"/>
  <c r="Y159" i="159"/>
  <c r="Y175" i="159" s="1"/>
  <c r="Y116" i="159" s="1"/>
  <c r="X159" i="159"/>
  <c r="W159" i="159"/>
  <c r="W175" i="159" s="1"/>
  <c r="W116" i="159" s="1"/>
  <c r="V159" i="159"/>
  <c r="U159" i="159"/>
  <c r="U175" i="159" s="1"/>
  <c r="U116" i="159" s="1"/>
  <c r="T159" i="159"/>
  <c r="S159" i="159"/>
  <c r="S175" i="159" s="1"/>
  <c r="S116" i="159" s="1"/>
  <c r="R159" i="159"/>
  <c r="Q159" i="159"/>
  <c r="Q175" i="159" s="1"/>
  <c r="Q116" i="159" s="1"/>
  <c r="P159" i="159"/>
  <c r="O159" i="159"/>
  <c r="O175" i="159" s="1"/>
  <c r="O116" i="159" s="1"/>
  <c r="N159" i="159"/>
  <c r="M159" i="159"/>
  <c r="M175" i="159" s="1"/>
  <c r="M116" i="159" s="1"/>
  <c r="L159" i="159"/>
  <c r="K159" i="159"/>
  <c r="K175" i="159" s="1"/>
  <c r="K116" i="159" s="1"/>
  <c r="J159" i="159"/>
  <c r="I159" i="159"/>
  <c r="I175" i="159" s="1"/>
  <c r="I116" i="159" s="1"/>
  <c r="H159" i="159"/>
  <c r="G159" i="159"/>
  <c r="G175" i="159" s="1"/>
  <c r="G116" i="159" s="1"/>
  <c r="F159" i="159"/>
  <c r="E159" i="159"/>
  <c r="E175" i="159" s="1"/>
  <c r="E116" i="159" s="1"/>
  <c r="D159" i="159"/>
  <c r="C159" i="159"/>
  <c r="C175" i="159" s="1"/>
  <c r="C116" i="159" s="1"/>
  <c r="AI158" i="159"/>
  <c r="AI174" i="159" s="1"/>
  <c r="AI115" i="159" s="1"/>
  <c r="AH158" i="159"/>
  <c r="AG158" i="159"/>
  <c r="AG174" i="159" s="1"/>
  <c r="AG115" i="159" s="1"/>
  <c r="AF158" i="159"/>
  <c r="AE158" i="159"/>
  <c r="AE174" i="159" s="1"/>
  <c r="AE115" i="159" s="1"/>
  <c r="AD158" i="159"/>
  <c r="AC158" i="159"/>
  <c r="AC174" i="159" s="1"/>
  <c r="AC115" i="159" s="1"/>
  <c r="AB158" i="159"/>
  <c r="AA158" i="159"/>
  <c r="AA174" i="159" s="1"/>
  <c r="AA115" i="159" s="1"/>
  <c r="Z158" i="159"/>
  <c r="Y158" i="159"/>
  <c r="Y174" i="159" s="1"/>
  <c r="Y115" i="159" s="1"/>
  <c r="X158" i="159"/>
  <c r="W158" i="159"/>
  <c r="W174" i="159" s="1"/>
  <c r="W115" i="159" s="1"/>
  <c r="V158" i="159"/>
  <c r="U158" i="159"/>
  <c r="U174" i="159" s="1"/>
  <c r="U115" i="159" s="1"/>
  <c r="T158" i="159"/>
  <c r="T174" i="159" s="1"/>
  <c r="T115" i="159" s="1"/>
  <c r="S158" i="159"/>
  <c r="S174" i="159" s="1"/>
  <c r="S115" i="159" s="1"/>
  <c r="R158" i="159"/>
  <c r="Q158" i="159"/>
  <c r="Q174" i="159" s="1"/>
  <c r="Q115" i="159" s="1"/>
  <c r="P158" i="159"/>
  <c r="P174" i="159" s="1"/>
  <c r="P115" i="159" s="1"/>
  <c r="O158" i="159"/>
  <c r="O174" i="159" s="1"/>
  <c r="O115" i="159" s="1"/>
  <c r="N158" i="159"/>
  <c r="M158" i="159"/>
  <c r="M174" i="159" s="1"/>
  <c r="M115" i="159" s="1"/>
  <c r="L158" i="159"/>
  <c r="L174" i="159" s="1"/>
  <c r="L115" i="159" s="1"/>
  <c r="K158" i="159"/>
  <c r="K174" i="159" s="1"/>
  <c r="K115" i="159" s="1"/>
  <c r="J158" i="159"/>
  <c r="I158" i="159"/>
  <c r="I174" i="159" s="1"/>
  <c r="I115" i="159" s="1"/>
  <c r="H158" i="159"/>
  <c r="H174" i="159" s="1"/>
  <c r="H115" i="159" s="1"/>
  <c r="G158" i="159"/>
  <c r="G174" i="159" s="1"/>
  <c r="G115" i="159" s="1"/>
  <c r="F158" i="159"/>
  <c r="E158" i="159"/>
  <c r="E174" i="159" s="1"/>
  <c r="E115" i="159" s="1"/>
  <c r="D158" i="159"/>
  <c r="D174" i="159" s="1"/>
  <c r="D115" i="159" s="1"/>
  <c r="C158" i="159"/>
  <c r="C174" i="159" s="1"/>
  <c r="C115" i="159" s="1"/>
  <c r="AI157" i="159"/>
  <c r="AI173" i="159" s="1"/>
  <c r="AI114" i="159" s="1"/>
  <c r="AH157" i="159"/>
  <c r="AH72" i="159" s="1"/>
  <c r="AG157" i="159"/>
  <c r="AG173" i="159" s="1"/>
  <c r="AF157" i="159"/>
  <c r="AF173" i="159" s="1"/>
  <c r="AF114" i="159" s="1"/>
  <c r="AE157" i="159"/>
  <c r="AE173" i="159" s="1"/>
  <c r="AE114" i="159" s="1"/>
  <c r="AD157" i="159"/>
  <c r="AD72" i="159" s="1"/>
  <c r="AC157" i="159"/>
  <c r="AC173" i="159" s="1"/>
  <c r="AB157" i="159"/>
  <c r="AB173" i="159" s="1"/>
  <c r="AB114" i="159" s="1"/>
  <c r="AA157" i="159"/>
  <c r="AA173" i="159" s="1"/>
  <c r="AA114" i="159" s="1"/>
  <c r="Z157" i="159"/>
  <c r="Z72" i="159" s="1"/>
  <c r="Y157" i="159"/>
  <c r="Y173" i="159" s="1"/>
  <c r="X157" i="159"/>
  <c r="X173" i="159" s="1"/>
  <c r="X114" i="159" s="1"/>
  <c r="W157" i="159"/>
  <c r="W173" i="159" s="1"/>
  <c r="W114" i="159" s="1"/>
  <c r="V157" i="159"/>
  <c r="V72" i="159" s="1"/>
  <c r="U157" i="159"/>
  <c r="U173" i="159" s="1"/>
  <c r="T157" i="159"/>
  <c r="T173" i="159" s="1"/>
  <c r="T114" i="159" s="1"/>
  <c r="S157" i="159"/>
  <c r="S173" i="159" s="1"/>
  <c r="S114" i="159" s="1"/>
  <c r="R157" i="159"/>
  <c r="R72" i="159" s="1"/>
  <c r="Q157" i="159"/>
  <c r="Q173" i="159" s="1"/>
  <c r="P157" i="159"/>
  <c r="P173" i="159" s="1"/>
  <c r="P114" i="159" s="1"/>
  <c r="O157" i="159"/>
  <c r="O173" i="159" s="1"/>
  <c r="O114" i="159" s="1"/>
  <c r="N157" i="159"/>
  <c r="N72" i="159" s="1"/>
  <c r="M157" i="159"/>
  <c r="M173" i="159" s="1"/>
  <c r="L157" i="159"/>
  <c r="L173" i="159" s="1"/>
  <c r="L114" i="159" s="1"/>
  <c r="K157" i="159"/>
  <c r="K173" i="159" s="1"/>
  <c r="K114" i="159" s="1"/>
  <c r="J157" i="159"/>
  <c r="J72" i="159" s="1"/>
  <c r="I157" i="159"/>
  <c r="I173" i="159" s="1"/>
  <c r="H157" i="159"/>
  <c r="H173" i="159" s="1"/>
  <c r="H114" i="159" s="1"/>
  <c r="G157" i="159"/>
  <c r="G173" i="159" s="1"/>
  <c r="G114" i="159" s="1"/>
  <c r="F157" i="159"/>
  <c r="F72" i="159" s="1"/>
  <c r="E157" i="159"/>
  <c r="E173" i="159" s="1"/>
  <c r="D157" i="159"/>
  <c r="D173" i="159" s="1"/>
  <c r="D114" i="159" s="1"/>
  <c r="C157" i="159"/>
  <c r="AI154" i="159"/>
  <c r="AH154" i="159"/>
  <c r="AG154" i="159"/>
  <c r="AG12" i="159" s="1"/>
  <c r="AF154" i="159"/>
  <c r="AE154" i="159"/>
  <c r="AD154" i="159"/>
  <c r="AC154" i="159"/>
  <c r="AC12" i="159" s="1"/>
  <c r="AB154" i="159"/>
  <c r="AA154" i="159"/>
  <c r="Z154" i="159"/>
  <c r="Y154" i="159"/>
  <c r="Y12" i="159" s="1"/>
  <c r="X154" i="159"/>
  <c r="W154" i="159"/>
  <c r="V154" i="159"/>
  <c r="U154" i="159"/>
  <c r="U12" i="159" s="1"/>
  <c r="T154" i="159"/>
  <c r="S154" i="159"/>
  <c r="R154" i="159"/>
  <c r="Q154" i="159"/>
  <c r="Q12" i="159" s="1"/>
  <c r="P154" i="159"/>
  <c r="O154" i="159"/>
  <c r="N154" i="159"/>
  <c r="M154" i="159"/>
  <c r="M12" i="159" s="1"/>
  <c r="L154" i="159"/>
  <c r="K154" i="159"/>
  <c r="J154" i="159"/>
  <c r="I154" i="159"/>
  <c r="I12" i="159" s="1"/>
  <c r="H154" i="159"/>
  <c r="G154" i="159"/>
  <c r="F154" i="159"/>
  <c r="E154" i="159"/>
  <c r="E12" i="159" s="1"/>
  <c r="D154" i="159"/>
  <c r="C154" i="159"/>
  <c r="C170" i="159" s="1"/>
  <c r="C99" i="159" s="1"/>
  <c r="AI153" i="159"/>
  <c r="AH153" i="159"/>
  <c r="AG153" i="159"/>
  <c r="AF153" i="159"/>
  <c r="AE153" i="159"/>
  <c r="AD153" i="159"/>
  <c r="AC153" i="159"/>
  <c r="AC11" i="159" s="1"/>
  <c r="AB153" i="159"/>
  <c r="AA153" i="159"/>
  <c r="Z153" i="159"/>
  <c r="Y153" i="159"/>
  <c r="X153" i="159"/>
  <c r="W153" i="159"/>
  <c r="V153" i="159"/>
  <c r="U153" i="159"/>
  <c r="U11" i="159" s="1"/>
  <c r="T153" i="159"/>
  <c r="S153" i="159"/>
  <c r="R153" i="159"/>
  <c r="Q153" i="159"/>
  <c r="P153" i="159"/>
  <c r="O153" i="159"/>
  <c r="N153" i="159"/>
  <c r="M153" i="159"/>
  <c r="M11" i="159" s="1"/>
  <c r="L153" i="159"/>
  <c r="K153" i="159"/>
  <c r="J153" i="159"/>
  <c r="I153" i="159"/>
  <c r="H153" i="159"/>
  <c r="G153" i="159"/>
  <c r="F153" i="159"/>
  <c r="E153" i="159"/>
  <c r="E11" i="159" s="1"/>
  <c r="D153" i="159"/>
  <c r="C153" i="159"/>
  <c r="C169" i="159" s="1"/>
  <c r="C98" i="159" s="1"/>
  <c r="AI152" i="159"/>
  <c r="AH152" i="159"/>
  <c r="AG152" i="159"/>
  <c r="AF152" i="159"/>
  <c r="AE152" i="159"/>
  <c r="AD152" i="159"/>
  <c r="AC152" i="159"/>
  <c r="AC10" i="159" s="1"/>
  <c r="AB152" i="159"/>
  <c r="AA152" i="159"/>
  <c r="Z152" i="159"/>
  <c r="Y152" i="159"/>
  <c r="X152" i="159"/>
  <c r="W152" i="159"/>
  <c r="V152" i="159"/>
  <c r="U152" i="159"/>
  <c r="U10" i="159" s="1"/>
  <c r="T152" i="159"/>
  <c r="S152" i="159"/>
  <c r="R152" i="159"/>
  <c r="Q152" i="159"/>
  <c r="P152" i="159"/>
  <c r="O152" i="159"/>
  <c r="N152" i="159"/>
  <c r="M152" i="159"/>
  <c r="M10" i="159" s="1"/>
  <c r="L152" i="159"/>
  <c r="K152" i="159"/>
  <c r="J152" i="159"/>
  <c r="I152" i="159"/>
  <c r="H152" i="159"/>
  <c r="G152" i="159"/>
  <c r="F152" i="159"/>
  <c r="E152" i="159"/>
  <c r="E10" i="159" s="1"/>
  <c r="D152" i="159"/>
  <c r="C152" i="159"/>
  <c r="AI151" i="159"/>
  <c r="AH151" i="159"/>
  <c r="AG151" i="159"/>
  <c r="AF151" i="159"/>
  <c r="AE151" i="159"/>
  <c r="AD151" i="159"/>
  <c r="AC151" i="159"/>
  <c r="AB151" i="159"/>
  <c r="AA151" i="159"/>
  <c r="Z151" i="159"/>
  <c r="Y151" i="159"/>
  <c r="X151" i="159"/>
  <c r="W151" i="159"/>
  <c r="V151" i="159"/>
  <c r="U151" i="159"/>
  <c r="T151" i="159"/>
  <c r="S151" i="159"/>
  <c r="R151" i="159"/>
  <c r="Q151" i="159"/>
  <c r="P151" i="159"/>
  <c r="O151" i="159"/>
  <c r="N151" i="159"/>
  <c r="M151" i="159"/>
  <c r="L151" i="159"/>
  <c r="K151" i="159"/>
  <c r="J151" i="159"/>
  <c r="I151" i="159"/>
  <c r="H151" i="159"/>
  <c r="G151" i="159"/>
  <c r="F151" i="159"/>
  <c r="E151" i="159"/>
  <c r="D151" i="159"/>
  <c r="C151" i="159"/>
  <c r="C53" i="159" s="1"/>
  <c r="L78" i="159"/>
  <c r="L13" i="159" s="1"/>
  <c r="K78" i="159"/>
  <c r="K13" i="159" s="1"/>
  <c r="J78" i="159"/>
  <c r="J13" i="159" s="1"/>
  <c r="I78" i="159"/>
  <c r="I13" i="159" s="1"/>
  <c r="H78" i="159"/>
  <c r="H13" i="159" s="1"/>
  <c r="G78" i="159"/>
  <c r="G13" i="159" s="1"/>
  <c r="F78" i="159"/>
  <c r="F13" i="159" s="1"/>
  <c r="E78" i="159"/>
  <c r="E13" i="159" s="1"/>
  <c r="D78" i="159"/>
  <c r="C78" i="159"/>
  <c r="L71" i="159"/>
  <c r="L8" i="159" s="1"/>
  <c r="K71" i="159"/>
  <c r="K8" i="159" s="1"/>
  <c r="J71" i="159"/>
  <c r="J8" i="159" s="1"/>
  <c r="I71" i="159"/>
  <c r="I8" i="159" s="1"/>
  <c r="H71" i="159"/>
  <c r="H8" i="159" s="1"/>
  <c r="G71" i="159"/>
  <c r="G8" i="159" s="1"/>
  <c r="F71" i="159"/>
  <c r="F8" i="159" s="1"/>
  <c r="E71" i="159"/>
  <c r="E8" i="159" s="1"/>
  <c r="D71" i="159"/>
  <c r="D8" i="159" s="1"/>
  <c r="C71" i="159"/>
  <c r="L70" i="159"/>
  <c r="K70" i="159"/>
  <c r="J70" i="159"/>
  <c r="I70" i="159"/>
  <c r="H70" i="159"/>
  <c r="G70" i="159"/>
  <c r="F70" i="159"/>
  <c r="E70" i="159"/>
  <c r="D70" i="159"/>
  <c r="C70" i="159"/>
  <c r="D69" i="159"/>
  <c r="D6" i="159" s="1"/>
  <c r="C69" i="159"/>
  <c r="L51" i="159"/>
  <c r="K51" i="159"/>
  <c r="J51" i="159"/>
  <c r="I51" i="159"/>
  <c r="H51" i="159"/>
  <c r="G51" i="159"/>
  <c r="F51" i="159"/>
  <c r="E51" i="159"/>
  <c r="D51" i="159"/>
  <c r="C51" i="159"/>
  <c r="C124" i="159"/>
  <c r="C123" i="159"/>
  <c r="F113" i="159"/>
  <c r="E113" i="159"/>
  <c r="D113" i="159"/>
  <c r="D30" i="159" s="1"/>
  <c r="C113" i="159"/>
  <c r="H109" i="159"/>
  <c r="H28" i="159" s="1"/>
  <c r="G109" i="159"/>
  <c r="G28" i="159" s="1"/>
  <c r="F109" i="159"/>
  <c r="F28" i="159" s="1"/>
  <c r="E109" i="159"/>
  <c r="E28" i="159" s="1"/>
  <c r="D109" i="159"/>
  <c r="D28" i="159" s="1"/>
  <c r="C109" i="159"/>
  <c r="I10" i="159" l="1"/>
  <c r="Q10" i="159"/>
  <c r="Y10" i="159"/>
  <c r="AG10" i="159"/>
  <c r="I11" i="159"/>
  <c r="Q11" i="159"/>
  <c r="Y11" i="159"/>
  <c r="AG11" i="159"/>
  <c r="E9" i="159"/>
  <c r="I9" i="159"/>
  <c r="M9" i="159"/>
  <c r="M24" i="159" s="1"/>
  <c r="Q9" i="159"/>
  <c r="U9" i="159"/>
  <c r="U24" i="159" s="1"/>
  <c r="Y9" i="159"/>
  <c r="Y24" i="159" s="1"/>
  <c r="AC9" i="159"/>
  <c r="AC24" i="159" s="1"/>
  <c r="AG9" i="159"/>
  <c r="AG24" i="159" s="1"/>
  <c r="L168" i="159"/>
  <c r="L10" i="159"/>
  <c r="F167" i="159"/>
  <c r="F96" i="159" s="1"/>
  <c r="F9" i="159"/>
  <c r="V167" i="159"/>
  <c r="V96" i="159" s="1"/>
  <c r="V9" i="159"/>
  <c r="K167" i="159"/>
  <c r="K96" i="159" s="1"/>
  <c r="K31" i="159" s="1"/>
  <c r="K9" i="159"/>
  <c r="S167" i="159"/>
  <c r="S96" i="159" s="1"/>
  <c r="S31" i="159" s="1"/>
  <c r="S9" i="159"/>
  <c r="AA167" i="159"/>
  <c r="AA96" i="159" s="1"/>
  <c r="AA31" i="159" s="1"/>
  <c r="AA9" i="159"/>
  <c r="AE167" i="159"/>
  <c r="AE96" i="159" s="1"/>
  <c r="AE31" i="159" s="1"/>
  <c r="AE9" i="159"/>
  <c r="F168" i="159"/>
  <c r="F10" i="159"/>
  <c r="N168" i="159"/>
  <c r="N10" i="159"/>
  <c r="V168" i="159"/>
  <c r="V10" i="159"/>
  <c r="AD168" i="159"/>
  <c r="AD10" i="159"/>
  <c r="AH168" i="159"/>
  <c r="AH10" i="159"/>
  <c r="H170" i="159"/>
  <c r="H99" i="159" s="1"/>
  <c r="H12" i="159"/>
  <c r="X170" i="159"/>
  <c r="X99" i="159" s="1"/>
  <c r="X12" i="159"/>
  <c r="H53" i="159"/>
  <c r="H9" i="159"/>
  <c r="L167" i="159"/>
  <c r="L96" i="159" s="1"/>
  <c r="L31" i="159" s="1"/>
  <c r="L9" i="159"/>
  <c r="P167" i="159"/>
  <c r="P96" i="159" s="1"/>
  <c r="P31" i="159" s="1"/>
  <c r="P9" i="159"/>
  <c r="T167" i="159"/>
  <c r="T96" i="159" s="1"/>
  <c r="T31" i="159" s="1"/>
  <c r="T9" i="159"/>
  <c r="X167" i="159"/>
  <c r="X96" i="159" s="1"/>
  <c r="X9" i="159"/>
  <c r="AB167" i="159"/>
  <c r="AB96" i="159" s="1"/>
  <c r="AB9" i="159"/>
  <c r="AF167" i="159"/>
  <c r="AF96" i="159" s="1"/>
  <c r="AF9" i="159"/>
  <c r="G168" i="159"/>
  <c r="G10" i="159"/>
  <c r="K168" i="159"/>
  <c r="K10" i="159"/>
  <c r="O168" i="159"/>
  <c r="O10" i="159"/>
  <c r="S168" i="159"/>
  <c r="S10" i="159"/>
  <c r="W168" i="159"/>
  <c r="W10" i="159"/>
  <c r="AA168" i="159"/>
  <c r="AA10" i="159"/>
  <c r="AE168" i="159"/>
  <c r="AE10" i="159"/>
  <c r="AI168" i="159"/>
  <c r="AI10" i="159"/>
  <c r="F169" i="159"/>
  <c r="F11" i="159"/>
  <c r="J169" i="159"/>
  <c r="J11" i="159"/>
  <c r="N169" i="159"/>
  <c r="N11" i="159"/>
  <c r="R169" i="159"/>
  <c r="R11" i="159"/>
  <c r="V169" i="159"/>
  <c r="V11" i="159"/>
  <c r="Z169" i="159"/>
  <c r="Z11" i="159"/>
  <c r="AD169" i="159"/>
  <c r="AD11" i="159"/>
  <c r="AH169" i="159"/>
  <c r="AH11" i="159"/>
  <c r="H168" i="159"/>
  <c r="H10" i="159"/>
  <c r="P168" i="159"/>
  <c r="P10" i="159"/>
  <c r="T168" i="159"/>
  <c r="T10" i="159"/>
  <c r="X168" i="159"/>
  <c r="X10" i="159"/>
  <c r="AB168" i="159"/>
  <c r="AB10" i="159"/>
  <c r="AF168" i="159"/>
  <c r="AF10" i="159"/>
  <c r="G169" i="159"/>
  <c r="G11" i="159"/>
  <c r="K169" i="159"/>
  <c r="K11" i="159"/>
  <c r="O169" i="159"/>
  <c r="O11" i="159"/>
  <c r="S169" i="159"/>
  <c r="S11" i="159"/>
  <c r="W169" i="159"/>
  <c r="W11" i="159"/>
  <c r="AA169" i="159"/>
  <c r="AA11" i="159"/>
  <c r="AE169" i="159"/>
  <c r="AE11" i="159"/>
  <c r="AI169" i="159"/>
  <c r="AI11" i="159"/>
  <c r="F170" i="159"/>
  <c r="F99" i="159" s="1"/>
  <c r="F12" i="159"/>
  <c r="J170" i="159"/>
  <c r="J99" i="159" s="1"/>
  <c r="J12" i="159"/>
  <c r="N170" i="159"/>
  <c r="N99" i="159" s="1"/>
  <c r="N12" i="159"/>
  <c r="R170" i="159"/>
  <c r="R99" i="159" s="1"/>
  <c r="R12" i="159"/>
  <c r="V170" i="159"/>
  <c r="V99" i="159" s="1"/>
  <c r="V12" i="159"/>
  <c r="Z170" i="159"/>
  <c r="Z99" i="159" s="1"/>
  <c r="Z12" i="159"/>
  <c r="AD170" i="159"/>
  <c r="AD99" i="159" s="1"/>
  <c r="AD12" i="159"/>
  <c r="AH170" i="159"/>
  <c r="AH99" i="159" s="1"/>
  <c r="AH12" i="159"/>
  <c r="J167" i="159"/>
  <c r="J96" i="159" s="1"/>
  <c r="J9" i="159"/>
  <c r="N167" i="159"/>
  <c r="N96" i="159" s="1"/>
  <c r="N9" i="159"/>
  <c r="R167" i="159"/>
  <c r="R96" i="159" s="1"/>
  <c r="R9" i="159"/>
  <c r="Z167" i="159"/>
  <c r="Z96" i="159" s="1"/>
  <c r="Z9" i="159"/>
  <c r="AD167" i="159"/>
  <c r="AD96" i="159" s="1"/>
  <c r="AD9" i="159"/>
  <c r="AH167" i="159"/>
  <c r="AH96" i="159" s="1"/>
  <c r="AH9" i="159"/>
  <c r="H169" i="159"/>
  <c r="H11" i="159"/>
  <c r="L169" i="159"/>
  <c r="L11" i="159"/>
  <c r="P169" i="159"/>
  <c r="P11" i="159"/>
  <c r="T169" i="159"/>
  <c r="T11" i="159"/>
  <c r="X169" i="159"/>
  <c r="X11" i="159"/>
  <c r="AB169" i="159"/>
  <c r="AB11" i="159"/>
  <c r="AF169" i="159"/>
  <c r="AF11" i="159"/>
  <c r="G170" i="159"/>
  <c r="G99" i="159" s="1"/>
  <c r="G12" i="159"/>
  <c r="K170" i="159"/>
  <c r="K99" i="159" s="1"/>
  <c r="K12" i="159"/>
  <c r="O170" i="159"/>
  <c r="O99" i="159" s="1"/>
  <c r="O12" i="159"/>
  <c r="S170" i="159"/>
  <c r="S99" i="159" s="1"/>
  <c r="S12" i="159"/>
  <c r="W170" i="159"/>
  <c r="W99" i="159" s="1"/>
  <c r="W12" i="159"/>
  <c r="AA170" i="159"/>
  <c r="AA99" i="159" s="1"/>
  <c r="AA12" i="159"/>
  <c r="AE170" i="159"/>
  <c r="AE99" i="159" s="1"/>
  <c r="AE12" i="159"/>
  <c r="AI170" i="159"/>
  <c r="AI99" i="159" s="1"/>
  <c r="AI12" i="159"/>
  <c r="E178" i="159"/>
  <c r="E119" i="159" s="1"/>
  <c r="I178" i="159"/>
  <c r="I119" i="159" s="1"/>
  <c r="M178" i="159"/>
  <c r="M119" i="159" s="1"/>
  <c r="Q178" i="159"/>
  <c r="Q119" i="159" s="1"/>
  <c r="U178" i="159"/>
  <c r="U119" i="159" s="1"/>
  <c r="Y178" i="159"/>
  <c r="Y119" i="159" s="1"/>
  <c r="G167" i="159"/>
  <c r="G96" i="159" s="1"/>
  <c r="G31" i="159" s="1"/>
  <c r="G9" i="159"/>
  <c r="O167" i="159"/>
  <c r="O96" i="159" s="1"/>
  <c r="O31" i="159" s="1"/>
  <c r="O9" i="159"/>
  <c r="W167" i="159"/>
  <c r="W96" i="159" s="1"/>
  <c r="W31" i="159" s="1"/>
  <c r="W9" i="159"/>
  <c r="AI167" i="159"/>
  <c r="AI96" i="159" s="1"/>
  <c r="AI31" i="159" s="1"/>
  <c r="AI9" i="159"/>
  <c r="AI24" i="159" s="1"/>
  <c r="J168" i="159"/>
  <c r="J10" i="159"/>
  <c r="R168" i="159"/>
  <c r="R10" i="159"/>
  <c r="Z168" i="159"/>
  <c r="Z10" i="159"/>
  <c r="L170" i="159"/>
  <c r="L99" i="159" s="1"/>
  <c r="L12" i="159"/>
  <c r="P170" i="159"/>
  <c r="P99" i="159" s="1"/>
  <c r="P12" i="159"/>
  <c r="T170" i="159"/>
  <c r="T99" i="159" s="1"/>
  <c r="T12" i="159"/>
  <c r="AB170" i="159"/>
  <c r="AB99" i="159" s="1"/>
  <c r="AB12" i="159"/>
  <c r="AF170" i="159"/>
  <c r="AF99" i="159" s="1"/>
  <c r="AF12" i="159"/>
  <c r="F178" i="159"/>
  <c r="F119" i="159" s="1"/>
  <c r="J178" i="159"/>
  <c r="J119" i="159" s="1"/>
  <c r="N178" i="159"/>
  <c r="N119" i="159" s="1"/>
  <c r="R178" i="159"/>
  <c r="R119" i="159" s="1"/>
  <c r="V178" i="159"/>
  <c r="V119" i="159" s="1"/>
  <c r="Z178" i="159"/>
  <c r="Z119" i="159" s="1"/>
  <c r="AD178" i="159"/>
  <c r="AD119" i="159" s="1"/>
  <c r="AH178" i="159"/>
  <c r="AH119" i="159" s="1"/>
  <c r="D167" i="159"/>
  <c r="D96" i="159" s="1"/>
  <c r="D9" i="159"/>
  <c r="K7" i="159"/>
  <c r="D168" i="159"/>
  <c r="D10" i="159"/>
  <c r="F7" i="159"/>
  <c r="H7" i="159"/>
  <c r="D13" i="159"/>
  <c r="D169" i="159"/>
  <c r="D11" i="159"/>
  <c r="J7" i="159"/>
  <c r="G7" i="159"/>
  <c r="D7" i="159"/>
  <c r="L7" i="159"/>
  <c r="E7" i="159"/>
  <c r="E24" i="159" s="1"/>
  <c r="I7" i="159"/>
  <c r="I24" i="159" s="1"/>
  <c r="D170" i="159"/>
  <c r="D99" i="159" s="1"/>
  <c r="D12" i="159"/>
  <c r="R53" i="159"/>
  <c r="D55" i="159"/>
  <c r="X55" i="159"/>
  <c r="S56" i="159"/>
  <c r="C75" i="159"/>
  <c r="U73" i="159"/>
  <c r="AC74" i="159"/>
  <c r="H75" i="159"/>
  <c r="X75" i="159"/>
  <c r="K76" i="159"/>
  <c r="AA76" i="159"/>
  <c r="I77" i="159"/>
  <c r="AD77" i="159"/>
  <c r="C56" i="159"/>
  <c r="Z53" i="159"/>
  <c r="H55" i="159"/>
  <c r="AB55" i="159"/>
  <c r="W56" i="159"/>
  <c r="E73" i="159"/>
  <c r="Y73" i="159"/>
  <c r="AG74" i="159"/>
  <c r="L75" i="159"/>
  <c r="AB75" i="159"/>
  <c r="O76" i="159"/>
  <c r="AE76" i="159"/>
  <c r="Q77" i="159"/>
  <c r="AH77" i="159"/>
  <c r="J53" i="159"/>
  <c r="AD53" i="159"/>
  <c r="L55" i="159"/>
  <c r="G56" i="159"/>
  <c r="AE56" i="159"/>
  <c r="M73" i="159"/>
  <c r="AC73" i="159"/>
  <c r="D75" i="159"/>
  <c r="P75" i="159"/>
  <c r="AF75" i="159"/>
  <c r="S76" i="159"/>
  <c r="AI76" i="159"/>
  <c r="U77" i="159"/>
  <c r="N53" i="159"/>
  <c r="AH53" i="159"/>
  <c r="T55" i="159"/>
  <c r="O56" i="159"/>
  <c r="AI56" i="159"/>
  <c r="Q73" i="159"/>
  <c r="AG73" i="159"/>
  <c r="G75" i="159"/>
  <c r="T75" i="159"/>
  <c r="G76" i="159"/>
  <c r="W76" i="159"/>
  <c r="E77" i="159"/>
  <c r="Y77" i="159"/>
  <c r="E167" i="159"/>
  <c r="E53" i="159"/>
  <c r="M53" i="159"/>
  <c r="U53" i="159"/>
  <c r="I114" i="159"/>
  <c r="Q114" i="159"/>
  <c r="Y114" i="159"/>
  <c r="AG114" i="159"/>
  <c r="X174" i="159"/>
  <c r="X115" i="159" s="1"/>
  <c r="X73" i="159"/>
  <c r="AB174" i="159"/>
  <c r="AB115" i="159" s="1"/>
  <c r="AB73" i="159"/>
  <c r="J176" i="159"/>
  <c r="J117" i="159" s="1"/>
  <c r="J75" i="159"/>
  <c r="R176" i="159"/>
  <c r="R117" i="159" s="1"/>
  <c r="R75" i="159"/>
  <c r="Z176" i="159"/>
  <c r="Z117" i="159" s="1"/>
  <c r="Z75" i="159"/>
  <c r="H178" i="159"/>
  <c r="H119" i="159" s="1"/>
  <c r="H77" i="159"/>
  <c r="P178" i="159"/>
  <c r="P119" i="159" s="1"/>
  <c r="P77" i="159"/>
  <c r="AF178" i="159"/>
  <c r="AF119" i="159" s="1"/>
  <c r="AF77" i="159"/>
  <c r="D53" i="159"/>
  <c r="O53" i="159"/>
  <c r="T53" i="159"/>
  <c r="AE53" i="159"/>
  <c r="D54" i="159"/>
  <c r="J54" i="159"/>
  <c r="O54" i="159"/>
  <c r="T54" i="159"/>
  <c r="Z54" i="159"/>
  <c r="AE54" i="159"/>
  <c r="J55" i="159"/>
  <c r="O55" i="159"/>
  <c r="Z55" i="159"/>
  <c r="AE55" i="159"/>
  <c r="D56" i="159"/>
  <c r="J56" i="159"/>
  <c r="T56" i="159"/>
  <c r="Z56" i="159"/>
  <c r="C77" i="159"/>
  <c r="H72" i="159"/>
  <c r="M72" i="159"/>
  <c r="S72" i="159"/>
  <c r="X72" i="159"/>
  <c r="AC72" i="159"/>
  <c r="AI72" i="159"/>
  <c r="H73" i="159"/>
  <c r="S73" i="159"/>
  <c r="I74" i="159"/>
  <c r="Q74" i="159"/>
  <c r="Y74" i="159"/>
  <c r="M75" i="159"/>
  <c r="U75" i="159"/>
  <c r="AC75" i="159"/>
  <c r="I53" i="159"/>
  <c r="Q167" i="159"/>
  <c r="Q53" i="159"/>
  <c r="Y167" i="159"/>
  <c r="Y53" i="159"/>
  <c r="AC53" i="159"/>
  <c r="AG167" i="159"/>
  <c r="AG53" i="159"/>
  <c r="E114" i="159"/>
  <c r="M114" i="159"/>
  <c r="U114" i="159"/>
  <c r="AC114" i="159"/>
  <c r="AF174" i="159"/>
  <c r="AF115" i="159" s="1"/>
  <c r="AF73" i="159"/>
  <c r="F176" i="159"/>
  <c r="F117" i="159" s="1"/>
  <c r="F75" i="159"/>
  <c r="N176" i="159"/>
  <c r="N117" i="159" s="1"/>
  <c r="N75" i="159"/>
  <c r="V176" i="159"/>
  <c r="V117" i="159" s="1"/>
  <c r="V75" i="159"/>
  <c r="AD176" i="159"/>
  <c r="AD117" i="159" s="1"/>
  <c r="AD75" i="159"/>
  <c r="AH176" i="159"/>
  <c r="AH117" i="159" s="1"/>
  <c r="AH75" i="159"/>
  <c r="D178" i="159"/>
  <c r="D119" i="159" s="1"/>
  <c r="D77" i="159"/>
  <c r="L178" i="159"/>
  <c r="L119" i="159" s="1"/>
  <c r="L77" i="159"/>
  <c r="T178" i="159"/>
  <c r="T119" i="159" s="1"/>
  <c r="T77" i="159"/>
  <c r="X178" i="159"/>
  <c r="X119" i="159" s="1"/>
  <c r="X77" i="159"/>
  <c r="AB178" i="159"/>
  <c r="AB119" i="159" s="1"/>
  <c r="AB77" i="159"/>
  <c r="E168" i="159"/>
  <c r="E54" i="159"/>
  <c r="I168" i="159"/>
  <c r="I54" i="159"/>
  <c r="M168" i="159"/>
  <c r="M54" i="159"/>
  <c r="Q168" i="159"/>
  <c r="Q54" i="159"/>
  <c r="U168" i="159"/>
  <c r="U54" i="159"/>
  <c r="Y168" i="159"/>
  <c r="Y54" i="159"/>
  <c r="AC168" i="159"/>
  <c r="AC54" i="159"/>
  <c r="AG168" i="159"/>
  <c r="AG54" i="159"/>
  <c r="D175" i="159"/>
  <c r="D116" i="159" s="1"/>
  <c r="D74" i="159"/>
  <c r="H175" i="159"/>
  <c r="H116" i="159" s="1"/>
  <c r="H74" i="159"/>
  <c r="L175" i="159"/>
  <c r="L116" i="159" s="1"/>
  <c r="L74" i="159"/>
  <c r="P175" i="159"/>
  <c r="P116" i="159" s="1"/>
  <c r="P74" i="159"/>
  <c r="T175" i="159"/>
  <c r="T116" i="159" s="1"/>
  <c r="T74" i="159"/>
  <c r="X175" i="159"/>
  <c r="X116" i="159" s="1"/>
  <c r="X74" i="159"/>
  <c r="AB175" i="159"/>
  <c r="AB116" i="159" s="1"/>
  <c r="AB74" i="159"/>
  <c r="AF175" i="159"/>
  <c r="AF116" i="159" s="1"/>
  <c r="AF74" i="159"/>
  <c r="K176" i="159"/>
  <c r="K117" i="159" s="1"/>
  <c r="K75" i="159"/>
  <c r="O176" i="159"/>
  <c r="O117" i="159" s="1"/>
  <c r="O75" i="159"/>
  <c r="S176" i="159"/>
  <c r="S117" i="159" s="1"/>
  <c r="S75" i="159"/>
  <c r="W176" i="159"/>
  <c r="W117" i="159" s="1"/>
  <c r="W75" i="159"/>
  <c r="AA176" i="159"/>
  <c r="AA117" i="159" s="1"/>
  <c r="AA75" i="159"/>
  <c r="AE176" i="159"/>
  <c r="AE117" i="159" s="1"/>
  <c r="AE75" i="159"/>
  <c r="AI176" i="159"/>
  <c r="AI117" i="159" s="1"/>
  <c r="AI75" i="159"/>
  <c r="F177" i="159"/>
  <c r="F118" i="159" s="1"/>
  <c r="F76" i="159"/>
  <c r="J177" i="159"/>
  <c r="J118" i="159" s="1"/>
  <c r="J76" i="159"/>
  <c r="N177" i="159"/>
  <c r="N118" i="159" s="1"/>
  <c r="N76" i="159"/>
  <c r="R177" i="159"/>
  <c r="R118" i="159" s="1"/>
  <c r="R76" i="159"/>
  <c r="V177" i="159"/>
  <c r="V118" i="159" s="1"/>
  <c r="V76" i="159"/>
  <c r="Z177" i="159"/>
  <c r="Z118" i="159" s="1"/>
  <c r="Z76" i="159"/>
  <c r="AD177" i="159"/>
  <c r="AD118" i="159" s="1"/>
  <c r="AD76" i="159"/>
  <c r="AH177" i="159"/>
  <c r="AH118" i="159" s="1"/>
  <c r="AH76" i="159"/>
  <c r="AC178" i="159"/>
  <c r="AC119" i="159" s="1"/>
  <c r="AC77" i="159"/>
  <c r="AG178" i="159"/>
  <c r="AG119" i="159" s="1"/>
  <c r="AG77" i="159"/>
  <c r="F53" i="159"/>
  <c r="K53" i="159"/>
  <c r="P53" i="159"/>
  <c r="V53" i="159"/>
  <c r="AA53" i="159"/>
  <c r="AF53" i="159"/>
  <c r="F54" i="159"/>
  <c r="K54" i="159"/>
  <c r="P54" i="159"/>
  <c r="V54" i="159"/>
  <c r="AA54" i="159"/>
  <c r="AF54" i="159"/>
  <c r="F55" i="159"/>
  <c r="K55" i="159"/>
  <c r="P55" i="159"/>
  <c r="V55" i="159"/>
  <c r="AA55" i="159"/>
  <c r="AF55" i="159"/>
  <c r="F56" i="159"/>
  <c r="K56" i="159"/>
  <c r="P56" i="159"/>
  <c r="V56" i="159"/>
  <c r="AA56" i="159"/>
  <c r="AF56" i="159"/>
  <c r="C73" i="159"/>
  <c r="D72" i="159"/>
  <c r="I72" i="159"/>
  <c r="O72" i="159"/>
  <c r="T72" i="159"/>
  <c r="Y72" i="159"/>
  <c r="AE72" i="159"/>
  <c r="D73" i="159"/>
  <c r="I73" i="159"/>
  <c r="O73" i="159"/>
  <c r="T73" i="159"/>
  <c r="AA73" i="159"/>
  <c r="AI73" i="159"/>
  <c r="K74" i="159"/>
  <c r="S74" i="159"/>
  <c r="AA74" i="159"/>
  <c r="AI74" i="159"/>
  <c r="I76" i="159"/>
  <c r="Q76" i="159"/>
  <c r="Y76" i="159"/>
  <c r="AG76" i="159"/>
  <c r="M77" i="159"/>
  <c r="E169" i="159"/>
  <c r="E55" i="159"/>
  <c r="I169" i="159"/>
  <c r="I55" i="159"/>
  <c r="M169" i="159"/>
  <c r="M55" i="159"/>
  <c r="Q169" i="159"/>
  <c r="Q55" i="159"/>
  <c r="U169" i="159"/>
  <c r="U55" i="159"/>
  <c r="Y169" i="159"/>
  <c r="Y55" i="159"/>
  <c r="AC169" i="159"/>
  <c r="AC55" i="159"/>
  <c r="AG169" i="159"/>
  <c r="AG55" i="159"/>
  <c r="C173" i="159"/>
  <c r="C114" i="159" s="1"/>
  <c r="C131" i="159" s="1"/>
  <c r="C72" i="159"/>
  <c r="F174" i="159"/>
  <c r="F115" i="159" s="1"/>
  <c r="F73" i="159"/>
  <c r="J174" i="159"/>
  <c r="J115" i="159" s="1"/>
  <c r="J73" i="159"/>
  <c r="N174" i="159"/>
  <c r="N115" i="159" s="1"/>
  <c r="N73" i="159"/>
  <c r="R174" i="159"/>
  <c r="R115" i="159" s="1"/>
  <c r="R73" i="159"/>
  <c r="V174" i="159"/>
  <c r="V115" i="159" s="1"/>
  <c r="V73" i="159"/>
  <c r="Z174" i="159"/>
  <c r="Z115" i="159" s="1"/>
  <c r="Z73" i="159"/>
  <c r="AD174" i="159"/>
  <c r="AD115" i="159" s="1"/>
  <c r="AD73" i="159"/>
  <c r="AH174" i="159"/>
  <c r="AH115" i="159" s="1"/>
  <c r="AH73" i="159"/>
  <c r="C55" i="159"/>
  <c r="G53" i="159"/>
  <c r="L53" i="159"/>
  <c r="W53" i="159"/>
  <c r="AB53" i="159"/>
  <c r="G54" i="159"/>
  <c r="L54" i="159"/>
  <c r="R54" i="159"/>
  <c r="W54" i="159"/>
  <c r="AB54" i="159"/>
  <c r="AH54" i="159"/>
  <c r="G55" i="159"/>
  <c r="R55" i="159"/>
  <c r="W55" i="159"/>
  <c r="AH55" i="159"/>
  <c r="L56" i="159"/>
  <c r="R56" i="159"/>
  <c r="AB56" i="159"/>
  <c r="AH56" i="159"/>
  <c r="C74" i="159"/>
  <c r="E72" i="159"/>
  <c r="K72" i="159"/>
  <c r="P72" i="159"/>
  <c r="U72" i="159"/>
  <c r="AA72" i="159"/>
  <c r="AF72" i="159"/>
  <c r="K73" i="159"/>
  <c r="P73" i="159"/>
  <c r="E74" i="159"/>
  <c r="M74" i="159"/>
  <c r="U74" i="159"/>
  <c r="I75" i="159"/>
  <c r="Q75" i="159"/>
  <c r="Y75" i="159"/>
  <c r="AG75" i="159"/>
  <c r="C168" i="159"/>
  <c r="C97" i="159" s="1"/>
  <c r="C54" i="159"/>
  <c r="E170" i="159"/>
  <c r="E99" i="159" s="1"/>
  <c r="E56" i="159"/>
  <c r="I170" i="159"/>
  <c r="I99" i="159" s="1"/>
  <c r="I56" i="159"/>
  <c r="M170" i="159"/>
  <c r="M99" i="159" s="1"/>
  <c r="M56" i="159"/>
  <c r="Q170" i="159"/>
  <c r="Q99" i="159" s="1"/>
  <c r="Q56" i="159"/>
  <c r="U170" i="159"/>
  <c r="U99" i="159" s="1"/>
  <c r="U56" i="159"/>
  <c r="Y170" i="159"/>
  <c r="Y99" i="159" s="1"/>
  <c r="Y56" i="159"/>
  <c r="AC170" i="159"/>
  <c r="AC99" i="159" s="1"/>
  <c r="AC56" i="159"/>
  <c r="AG170" i="159"/>
  <c r="AG99" i="159" s="1"/>
  <c r="AG56" i="159"/>
  <c r="F175" i="159"/>
  <c r="F116" i="159" s="1"/>
  <c r="F74" i="159"/>
  <c r="J175" i="159"/>
  <c r="J116" i="159" s="1"/>
  <c r="J74" i="159"/>
  <c r="N175" i="159"/>
  <c r="N116" i="159" s="1"/>
  <c r="N74" i="159"/>
  <c r="R175" i="159"/>
  <c r="R116" i="159" s="1"/>
  <c r="R74" i="159"/>
  <c r="V175" i="159"/>
  <c r="V116" i="159" s="1"/>
  <c r="V74" i="159"/>
  <c r="Z175" i="159"/>
  <c r="Z116" i="159" s="1"/>
  <c r="Z74" i="159"/>
  <c r="AD175" i="159"/>
  <c r="AD116" i="159" s="1"/>
  <c r="AD74" i="159"/>
  <c r="AH175" i="159"/>
  <c r="AH116" i="159" s="1"/>
  <c r="AH74" i="159"/>
  <c r="D177" i="159"/>
  <c r="D118" i="159" s="1"/>
  <c r="D76" i="159"/>
  <c r="H177" i="159"/>
  <c r="H118" i="159" s="1"/>
  <c r="H76" i="159"/>
  <c r="L177" i="159"/>
  <c r="L118" i="159" s="1"/>
  <c r="L76" i="159"/>
  <c r="P177" i="159"/>
  <c r="P118" i="159" s="1"/>
  <c r="P76" i="159"/>
  <c r="T177" i="159"/>
  <c r="T118" i="159" s="1"/>
  <c r="T76" i="159"/>
  <c r="X177" i="159"/>
  <c r="X118" i="159" s="1"/>
  <c r="X76" i="159"/>
  <c r="AB177" i="159"/>
  <c r="AB118" i="159" s="1"/>
  <c r="AB76" i="159"/>
  <c r="AF177" i="159"/>
  <c r="AF118" i="159" s="1"/>
  <c r="AF76" i="159"/>
  <c r="G178" i="159"/>
  <c r="G119" i="159" s="1"/>
  <c r="G77" i="159"/>
  <c r="K178" i="159"/>
  <c r="K119" i="159" s="1"/>
  <c r="K77" i="159"/>
  <c r="O178" i="159"/>
  <c r="O119" i="159" s="1"/>
  <c r="O77" i="159"/>
  <c r="S178" i="159"/>
  <c r="S119" i="159" s="1"/>
  <c r="S77" i="159"/>
  <c r="W178" i="159"/>
  <c r="W119" i="159" s="1"/>
  <c r="W77" i="159"/>
  <c r="AA178" i="159"/>
  <c r="AA119" i="159" s="1"/>
  <c r="AA77" i="159"/>
  <c r="AE178" i="159"/>
  <c r="AE119" i="159" s="1"/>
  <c r="AE77" i="159"/>
  <c r="AI178" i="159"/>
  <c r="AI119" i="159" s="1"/>
  <c r="AI77" i="159"/>
  <c r="S53" i="159"/>
  <c r="X53" i="159"/>
  <c r="AI53" i="159"/>
  <c r="H54" i="159"/>
  <c r="N54" i="159"/>
  <c r="S54" i="159"/>
  <c r="X54" i="159"/>
  <c r="AD54" i="159"/>
  <c r="AI54" i="159"/>
  <c r="N55" i="159"/>
  <c r="S55" i="159"/>
  <c r="AD55" i="159"/>
  <c r="AI55" i="159"/>
  <c r="H56" i="159"/>
  <c r="N56" i="159"/>
  <c r="X56" i="159"/>
  <c r="AD56" i="159"/>
  <c r="G72" i="159"/>
  <c r="L72" i="159"/>
  <c r="Q72" i="159"/>
  <c r="W72" i="159"/>
  <c r="AB72" i="159"/>
  <c r="AG72" i="159"/>
  <c r="G73" i="159"/>
  <c r="L73" i="159"/>
  <c r="W73" i="159"/>
  <c r="AE73" i="159"/>
  <c r="G74" i="159"/>
  <c r="O74" i="159"/>
  <c r="W74" i="159"/>
  <c r="AE74" i="159"/>
  <c r="E75" i="159"/>
  <c r="E76" i="159"/>
  <c r="M76" i="159"/>
  <c r="U76" i="159"/>
  <c r="AC76" i="159"/>
  <c r="C76" i="159"/>
  <c r="F77" i="159"/>
  <c r="J77" i="159"/>
  <c r="N77" i="159"/>
  <c r="R77" i="159"/>
  <c r="V77" i="159"/>
  <c r="Z77" i="159"/>
  <c r="C167" i="159"/>
  <c r="H167" i="159"/>
  <c r="M167" i="159"/>
  <c r="U167" i="159"/>
  <c r="AC167" i="159"/>
  <c r="F173" i="159"/>
  <c r="J173" i="159"/>
  <c r="N173" i="159"/>
  <c r="V173" i="159"/>
  <c r="Z173" i="159"/>
  <c r="AD173" i="159"/>
  <c r="AH173" i="159"/>
  <c r="H206" i="159"/>
  <c r="I167" i="159"/>
  <c r="R173" i="159"/>
  <c r="Q24" i="159" l="1"/>
  <c r="H24" i="159"/>
  <c r="AB34" i="159"/>
  <c r="AA24" i="159"/>
  <c r="L24" i="159"/>
  <c r="F24" i="159"/>
  <c r="AD34" i="159"/>
  <c r="V34" i="159"/>
  <c r="N34" i="159"/>
  <c r="F34" i="159"/>
  <c r="W24" i="159"/>
  <c r="X34" i="159"/>
  <c r="AD24" i="159"/>
  <c r="AH34" i="159"/>
  <c r="Z34" i="159"/>
  <c r="R34" i="159"/>
  <c r="J34" i="159"/>
  <c r="O24" i="159"/>
  <c r="AC34" i="159"/>
  <c r="AF31" i="159"/>
  <c r="AF98" i="159"/>
  <c r="AF33" i="159"/>
  <c r="X98" i="159"/>
  <c r="X33" i="159"/>
  <c r="P98" i="159"/>
  <c r="P33" i="159"/>
  <c r="H98" i="159"/>
  <c r="H33" i="159"/>
  <c r="H34" i="159"/>
  <c r="AE98" i="159"/>
  <c r="AE33" i="159"/>
  <c r="W98" i="159"/>
  <c r="W33" i="159"/>
  <c r="O98" i="159"/>
  <c r="O33" i="159"/>
  <c r="G98" i="159"/>
  <c r="G33" i="159"/>
  <c r="AB97" i="159"/>
  <c r="AB131" i="159" s="1"/>
  <c r="AB32" i="159"/>
  <c r="T97" i="159"/>
  <c r="T32" i="159"/>
  <c r="H97" i="159"/>
  <c r="H32" i="159"/>
  <c r="W34" i="159"/>
  <c r="G34" i="159"/>
  <c r="AD98" i="159"/>
  <c r="AD33" i="159"/>
  <c r="V98" i="159"/>
  <c r="V33" i="159"/>
  <c r="N98" i="159"/>
  <c r="N33" i="159"/>
  <c r="F98" i="159"/>
  <c r="F33" i="159"/>
  <c r="AE97" i="159"/>
  <c r="AE131" i="159" s="1"/>
  <c r="AE32" i="159"/>
  <c r="W97" i="159"/>
  <c r="W32" i="159"/>
  <c r="W43" i="159" s="1"/>
  <c r="W45" i="159" s="1"/>
  <c r="O97" i="159"/>
  <c r="O32" i="159"/>
  <c r="G97" i="159"/>
  <c r="G131" i="159" s="1"/>
  <c r="G32" i="159"/>
  <c r="G43" i="159" s="1"/>
  <c r="AB31" i="159"/>
  <c r="AG98" i="159"/>
  <c r="AG33" i="159"/>
  <c r="Y98" i="159"/>
  <c r="Y33" i="159"/>
  <c r="Q98" i="159"/>
  <c r="Q33" i="159"/>
  <c r="I98" i="159"/>
  <c r="I33" i="159"/>
  <c r="AG97" i="159"/>
  <c r="AG32" i="159"/>
  <c r="Y97" i="159"/>
  <c r="Y32" i="159"/>
  <c r="Q97" i="159"/>
  <c r="Q32" i="159"/>
  <c r="I97" i="159"/>
  <c r="I32" i="159"/>
  <c r="D34" i="159"/>
  <c r="Z97" i="159"/>
  <c r="Z32" i="159"/>
  <c r="J97" i="159"/>
  <c r="J32" i="159"/>
  <c r="AG34" i="159"/>
  <c r="U34" i="159"/>
  <c r="M34" i="159"/>
  <c r="E34" i="159"/>
  <c r="AH24" i="159"/>
  <c r="Z24" i="159"/>
  <c r="N24" i="159"/>
  <c r="T34" i="159"/>
  <c r="AI34" i="159"/>
  <c r="S34" i="159"/>
  <c r="AF24" i="159"/>
  <c r="X24" i="159"/>
  <c r="P24" i="159"/>
  <c r="AH97" i="159"/>
  <c r="AH32" i="159"/>
  <c r="V97" i="159"/>
  <c r="V32" i="159"/>
  <c r="F97" i="159"/>
  <c r="F32" i="159"/>
  <c r="G24" i="159"/>
  <c r="AB98" i="159"/>
  <c r="AB33" i="159"/>
  <c r="T98" i="159"/>
  <c r="T33" i="159"/>
  <c r="L98" i="159"/>
  <c r="L33" i="159"/>
  <c r="AF34" i="159"/>
  <c r="P34" i="159"/>
  <c r="AI98" i="159"/>
  <c r="AI33" i="159"/>
  <c r="AA98" i="159"/>
  <c r="AA33" i="159"/>
  <c r="S98" i="159"/>
  <c r="S33" i="159"/>
  <c r="K98" i="159"/>
  <c r="K33" i="159"/>
  <c r="AF97" i="159"/>
  <c r="AF131" i="159" s="1"/>
  <c r="AF32" i="159"/>
  <c r="X97" i="159"/>
  <c r="X131" i="159" s="1"/>
  <c r="X32" i="159"/>
  <c r="P97" i="159"/>
  <c r="P32" i="159"/>
  <c r="AE34" i="159"/>
  <c r="O34" i="159"/>
  <c r="O43" i="159" s="1"/>
  <c r="O45" i="159" s="1"/>
  <c r="AH98" i="159"/>
  <c r="AH33" i="159"/>
  <c r="Z98" i="159"/>
  <c r="Z33" i="159"/>
  <c r="R98" i="159"/>
  <c r="R33" i="159"/>
  <c r="J98" i="159"/>
  <c r="J33" i="159"/>
  <c r="AI97" i="159"/>
  <c r="AI131" i="159" s="1"/>
  <c r="AI32" i="159"/>
  <c r="AA97" i="159"/>
  <c r="AA131" i="159" s="1"/>
  <c r="AA32" i="159"/>
  <c r="S97" i="159"/>
  <c r="S131" i="159" s="1"/>
  <c r="S32" i="159"/>
  <c r="K97" i="159"/>
  <c r="K131" i="159" s="1"/>
  <c r="K32" i="159"/>
  <c r="X31" i="159"/>
  <c r="AE24" i="159"/>
  <c r="S24" i="159"/>
  <c r="V24" i="159"/>
  <c r="AC98" i="159"/>
  <c r="AC33" i="159"/>
  <c r="U98" i="159"/>
  <c r="U33" i="159"/>
  <c r="M98" i="159"/>
  <c r="M33" i="159"/>
  <c r="E98" i="159"/>
  <c r="E33" i="159"/>
  <c r="AC97" i="159"/>
  <c r="AC32" i="159"/>
  <c r="U97" i="159"/>
  <c r="U32" i="159"/>
  <c r="M97" i="159"/>
  <c r="M32" i="159"/>
  <c r="E97" i="159"/>
  <c r="E32" i="159"/>
  <c r="J24" i="159"/>
  <c r="K24" i="159"/>
  <c r="R97" i="159"/>
  <c r="R32" i="159"/>
  <c r="Y34" i="159"/>
  <c r="Q34" i="159"/>
  <c r="I34" i="159"/>
  <c r="R24" i="159"/>
  <c r="L34" i="159"/>
  <c r="AA34" i="159"/>
  <c r="K34" i="159"/>
  <c r="AB24" i="159"/>
  <c r="T24" i="159"/>
  <c r="AD97" i="159"/>
  <c r="AD32" i="159"/>
  <c r="N97" i="159"/>
  <c r="N32" i="159"/>
  <c r="S43" i="159"/>
  <c r="S45" i="159" s="1"/>
  <c r="L97" i="159"/>
  <c r="L32" i="159"/>
  <c r="T131" i="159"/>
  <c r="H89" i="159"/>
  <c r="G89" i="159"/>
  <c r="F89" i="159"/>
  <c r="W131" i="159"/>
  <c r="O131" i="159"/>
  <c r="I89" i="159"/>
  <c r="E89" i="159"/>
  <c r="D24" i="159"/>
  <c r="AI89" i="159"/>
  <c r="W89" i="159"/>
  <c r="J89" i="159"/>
  <c r="K89" i="159"/>
  <c r="D89" i="159"/>
  <c r="L89" i="159"/>
  <c r="S89" i="159"/>
  <c r="AF89" i="159"/>
  <c r="AC89" i="159"/>
  <c r="T89" i="159"/>
  <c r="M89" i="159"/>
  <c r="D97" i="159"/>
  <c r="D32" i="159"/>
  <c r="AB89" i="159"/>
  <c r="AA89" i="159"/>
  <c r="Y89" i="159"/>
  <c r="O89" i="159"/>
  <c r="Z89" i="159"/>
  <c r="D98" i="159"/>
  <c r="D33" i="159"/>
  <c r="AH89" i="159"/>
  <c r="D31" i="159"/>
  <c r="V89" i="159"/>
  <c r="AG89" i="159"/>
  <c r="X89" i="159"/>
  <c r="P89" i="159"/>
  <c r="Q89" i="159"/>
  <c r="AE89" i="159"/>
  <c r="U89" i="159"/>
  <c r="N89" i="159"/>
  <c r="AD89" i="159"/>
  <c r="R89" i="159"/>
  <c r="I206" i="159"/>
  <c r="M206" i="159"/>
  <c r="U206" i="159"/>
  <c r="S207" i="159"/>
  <c r="O207" i="159"/>
  <c r="AE207" i="159"/>
  <c r="AA207" i="159"/>
  <c r="AC206" i="159"/>
  <c r="K207" i="159"/>
  <c r="P207" i="159"/>
  <c r="AB207" i="159"/>
  <c r="G207" i="159"/>
  <c r="L207" i="159"/>
  <c r="D207" i="159"/>
  <c r="AD207" i="159"/>
  <c r="AD114" i="159"/>
  <c r="V207" i="159"/>
  <c r="V114" i="159"/>
  <c r="V31" i="159" s="1"/>
  <c r="V43" i="159" s="1"/>
  <c r="V45" i="159" s="1"/>
  <c r="M207" i="159"/>
  <c r="M96" i="159"/>
  <c r="AC96" i="159"/>
  <c r="R207" i="159"/>
  <c r="R114" i="159"/>
  <c r="R31" i="159" s="1"/>
  <c r="AG96" i="159"/>
  <c r="Y207" i="159"/>
  <c r="Y96" i="159"/>
  <c r="P206" i="159"/>
  <c r="AI207" i="159"/>
  <c r="I207" i="159"/>
  <c r="I96" i="159"/>
  <c r="AH207" i="159"/>
  <c r="AH114" i="159"/>
  <c r="J207" i="159"/>
  <c r="J114" i="159"/>
  <c r="H96" i="159"/>
  <c r="W207" i="159"/>
  <c r="X207" i="159"/>
  <c r="T207" i="159"/>
  <c r="Z207" i="159"/>
  <c r="Z114" i="159"/>
  <c r="Z31" i="159" s="1"/>
  <c r="Q207" i="159"/>
  <c r="Q96" i="159"/>
  <c r="C207" i="159"/>
  <c r="C96" i="159"/>
  <c r="N207" i="159"/>
  <c r="N114" i="159"/>
  <c r="F207" i="159"/>
  <c r="F114" i="159"/>
  <c r="U207" i="159"/>
  <c r="U96" i="159"/>
  <c r="E207" i="159"/>
  <c r="E96" i="159"/>
  <c r="AA206" i="159"/>
  <c r="AI206" i="159"/>
  <c r="AF207" i="159"/>
  <c r="AF206" i="159"/>
  <c r="N206" i="159"/>
  <c r="O206" i="159"/>
  <c r="Y206" i="159"/>
  <c r="V206" i="159"/>
  <c r="K206" i="159"/>
  <c r="C206" i="159"/>
  <c r="E206" i="159"/>
  <c r="AG206" i="159"/>
  <c r="F206" i="159"/>
  <c r="AH206" i="159"/>
  <c r="Q206" i="159"/>
  <c r="AE206" i="159"/>
  <c r="L206" i="159"/>
  <c r="D206" i="159"/>
  <c r="X206" i="159"/>
  <c r="J206" i="159"/>
  <c r="AB206" i="159"/>
  <c r="G206" i="159"/>
  <c r="T206" i="159"/>
  <c r="S206" i="159"/>
  <c r="Z206" i="159"/>
  <c r="R206" i="159"/>
  <c r="W206" i="159"/>
  <c r="AD206" i="159"/>
  <c r="L43" i="159" l="1"/>
  <c r="L45" i="159" s="1"/>
  <c r="L131" i="159"/>
  <c r="Z43" i="159"/>
  <c r="Z45" i="159" s="1"/>
  <c r="K43" i="159"/>
  <c r="K45" i="159" s="1"/>
  <c r="T43" i="159"/>
  <c r="AF43" i="159"/>
  <c r="AF45" i="159" s="1"/>
  <c r="T45" i="159"/>
  <c r="F131" i="159"/>
  <c r="AD131" i="159"/>
  <c r="AI43" i="159"/>
  <c r="AI45" i="159" s="1"/>
  <c r="R43" i="159"/>
  <c r="R45" i="159" s="1"/>
  <c r="P131" i="159"/>
  <c r="AE43" i="159"/>
  <c r="AE45" i="159" s="1"/>
  <c r="AA43" i="159"/>
  <c r="AA45" i="159" s="1"/>
  <c r="G45" i="159"/>
  <c r="P43" i="159"/>
  <c r="P45" i="159" s="1"/>
  <c r="Z131" i="159"/>
  <c r="AC131" i="159"/>
  <c r="AC31" i="159"/>
  <c r="AC43" i="159" s="1"/>
  <c r="AC45" i="159" s="1"/>
  <c r="E131" i="159"/>
  <c r="E31" i="159"/>
  <c r="E43" i="159" s="1"/>
  <c r="E45" i="159" s="1"/>
  <c r="H131" i="159"/>
  <c r="H31" i="159"/>
  <c r="H43" i="159" s="1"/>
  <c r="H45" i="159" s="1"/>
  <c r="R131" i="159"/>
  <c r="U131" i="159"/>
  <c r="U31" i="159"/>
  <c r="U43" i="159" s="1"/>
  <c r="U45" i="159" s="1"/>
  <c r="N131" i="159"/>
  <c r="Q131" i="159"/>
  <c r="Q31" i="159"/>
  <c r="Q43" i="159" s="1"/>
  <c r="Q45" i="159" s="1"/>
  <c r="J131" i="159"/>
  <c r="I131" i="159"/>
  <c r="I31" i="159"/>
  <c r="I43" i="159" s="1"/>
  <c r="I45" i="159" s="1"/>
  <c r="Y131" i="159"/>
  <c r="Y31" i="159"/>
  <c r="Y43" i="159" s="1"/>
  <c r="Y45" i="159" s="1"/>
  <c r="V131" i="159"/>
  <c r="D43" i="159"/>
  <c r="D45" i="159" s="1"/>
  <c r="X43" i="159"/>
  <c r="X45" i="159" s="1"/>
  <c r="N31" i="159"/>
  <c r="N43" i="159" s="1"/>
  <c r="N45" i="159" s="1"/>
  <c r="F31" i="159"/>
  <c r="F43" i="159" s="1"/>
  <c r="F45" i="159" s="1"/>
  <c r="J31" i="159"/>
  <c r="J43" i="159" s="1"/>
  <c r="J45" i="159" s="1"/>
  <c r="AH131" i="159"/>
  <c r="AG131" i="159"/>
  <c r="AG31" i="159"/>
  <c r="AG43" i="159" s="1"/>
  <c r="AG45" i="159" s="1"/>
  <c r="M131" i="159"/>
  <c r="M31" i="159"/>
  <c r="M43" i="159" s="1"/>
  <c r="M45" i="159" s="1"/>
  <c r="AH31" i="159"/>
  <c r="AH43" i="159" s="1"/>
  <c r="AH45" i="159" s="1"/>
  <c r="AB43" i="159"/>
  <c r="AB45" i="159" s="1"/>
  <c r="AD31" i="159"/>
  <c r="AD43" i="159" s="1"/>
  <c r="AD45" i="159" s="1"/>
  <c r="D131" i="159"/>
  <c r="M208" i="159"/>
  <c r="M210" i="159" s="1"/>
  <c r="I208" i="159"/>
  <c r="I210" i="159" s="1"/>
  <c r="Y208" i="159"/>
  <c r="Y210" i="159" s="1"/>
  <c r="U208" i="159"/>
  <c r="U210" i="159" s="1"/>
  <c r="AB208" i="159"/>
  <c r="AB210" i="159" s="1"/>
  <c r="O208" i="159"/>
  <c r="O210" i="159" s="1"/>
  <c r="C208" i="159"/>
  <c r="C210" i="159" s="1"/>
  <c r="H207" i="159"/>
  <c r="H208" i="159" s="1"/>
  <c r="H210" i="159" s="1"/>
  <c r="P208" i="159"/>
  <c r="P210" i="159" s="1"/>
  <c r="AE208" i="159"/>
  <c r="AE210" i="159" s="1"/>
  <c r="AI208" i="159"/>
  <c r="AI210" i="159" s="1"/>
  <c r="L208" i="159"/>
  <c r="L210" i="159" s="1"/>
  <c r="K208" i="159"/>
  <c r="K210" i="159" s="1"/>
  <c r="D208" i="159"/>
  <c r="D210" i="159" s="1"/>
  <c r="N208" i="159"/>
  <c r="N210" i="159" s="1"/>
  <c r="T208" i="159"/>
  <c r="T210" i="159" s="1"/>
  <c r="X208" i="159"/>
  <c r="X210" i="159" s="1"/>
  <c r="Q208" i="159"/>
  <c r="Q210" i="159" s="1"/>
  <c r="E208" i="159"/>
  <c r="E210" i="159" s="1"/>
  <c r="AF208" i="159"/>
  <c r="AF210" i="159" s="1"/>
  <c r="AA208" i="159"/>
  <c r="AA210" i="159" s="1"/>
  <c r="AG207" i="159"/>
  <c r="AG208" i="159" s="1"/>
  <c r="AG210" i="159" s="1"/>
  <c r="AC207" i="159"/>
  <c r="AC208" i="159" s="1"/>
  <c r="AC210" i="159" s="1"/>
  <c r="AD208" i="159"/>
  <c r="AD210" i="159" s="1"/>
  <c r="F208" i="159"/>
  <c r="F210" i="159" s="1"/>
  <c r="W208" i="159"/>
  <c r="W210" i="159" s="1"/>
  <c r="G208" i="159"/>
  <c r="G210" i="159" s="1"/>
  <c r="S208" i="159"/>
  <c r="S210" i="159" s="1"/>
  <c r="Z208" i="159"/>
  <c r="Z210" i="159" s="1"/>
  <c r="V208" i="159"/>
  <c r="V210" i="159" s="1"/>
  <c r="AH208" i="159"/>
  <c r="AH210" i="159" s="1"/>
  <c r="J208" i="159"/>
  <c r="J210" i="159" s="1"/>
  <c r="R208" i="159"/>
  <c r="R210" i="159" s="1"/>
  <c r="E62" i="158" l="1"/>
  <c r="F62" i="158" s="1"/>
  <c r="E53" i="158"/>
  <c r="F53" i="158" s="1"/>
  <c r="C62" i="158"/>
  <c r="D62" i="158" s="1"/>
  <c r="C61" i="158"/>
  <c r="D61" i="158" s="1"/>
  <c r="C60" i="158"/>
  <c r="D60" i="158" s="1"/>
  <c r="C59" i="158"/>
  <c r="D59" i="158" s="1"/>
  <c r="C58" i="158"/>
  <c r="D58" i="158" s="1"/>
  <c r="C53" i="158"/>
  <c r="D53" i="158" s="1"/>
  <c r="C52" i="158"/>
  <c r="D52" i="158" s="1"/>
  <c r="C51" i="158"/>
  <c r="D51" i="158" s="1"/>
  <c r="C50" i="158"/>
  <c r="D50" i="158" s="1"/>
  <c r="C49" i="158"/>
  <c r="D49" i="158" s="1"/>
  <c r="A44" i="158"/>
  <c r="A43" i="158"/>
  <c r="A42" i="158"/>
  <c r="A41" i="158"/>
  <c r="A40" i="158"/>
  <c r="A39" i="158"/>
  <c r="C10" i="158"/>
  <c r="B31" i="158"/>
  <c r="H30" i="158"/>
  <c r="G30" i="158"/>
  <c r="F30" i="158"/>
  <c r="E30" i="158"/>
  <c r="D30" i="158"/>
  <c r="C30" i="158"/>
  <c r="H29" i="158"/>
  <c r="G29" i="158"/>
  <c r="F29" i="158"/>
  <c r="E29" i="158"/>
  <c r="D29" i="158"/>
  <c r="C29" i="158"/>
  <c r="H28" i="158"/>
  <c r="G28" i="158"/>
  <c r="F28" i="158"/>
  <c r="E28" i="158"/>
  <c r="D28" i="158"/>
  <c r="C28" i="158"/>
  <c r="H27" i="158"/>
  <c r="G27" i="158"/>
  <c r="F27" i="158"/>
  <c r="E27" i="158"/>
  <c r="D27" i="158"/>
  <c r="C27" i="158"/>
  <c r="H26" i="158"/>
  <c r="G26" i="158"/>
  <c r="F26" i="158"/>
  <c r="E26" i="158"/>
  <c r="D26" i="158"/>
  <c r="C26" i="158"/>
  <c r="H25" i="158"/>
  <c r="G25" i="158"/>
  <c r="F25" i="158"/>
  <c r="E25" i="158"/>
  <c r="D25" i="158"/>
  <c r="C25" i="158"/>
  <c r="H24" i="158"/>
  <c r="G24" i="158"/>
  <c r="F24" i="158"/>
  <c r="E24" i="158"/>
  <c r="D24" i="158"/>
  <c r="C24" i="158"/>
  <c r="H23" i="158"/>
  <c r="G23" i="158"/>
  <c r="F23" i="158"/>
  <c r="E23" i="158"/>
  <c r="D23" i="158"/>
  <c r="C23" i="158"/>
  <c r="H22" i="158"/>
  <c r="G22" i="158"/>
  <c r="F22" i="158"/>
  <c r="E22" i="158"/>
  <c r="D22" i="158"/>
  <c r="C22" i="158"/>
  <c r="H21" i="158"/>
  <c r="G21" i="158"/>
  <c r="F21" i="158"/>
  <c r="E21" i="158"/>
  <c r="D21" i="158"/>
  <c r="C21" i="158"/>
  <c r="H20" i="158"/>
  <c r="G20" i="158"/>
  <c r="F20" i="158"/>
  <c r="E20" i="158"/>
  <c r="D20" i="158"/>
  <c r="C20" i="158"/>
  <c r="H19" i="158"/>
  <c r="G19" i="158"/>
  <c r="F19" i="158"/>
  <c r="E19" i="158"/>
  <c r="D19" i="158"/>
  <c r="C19" i="158"/>
  <c r="H18" i="158"/>
  <c r="G18" i="158"/>
  <c r="F18" i="158"/>
  <c r="E18" i="158"/>
  <c r="D18" i="158"/>
  <c r="C18" i="158"/>
  <c r="H17" i="158"/>
  <c r="G17" i="158"/>
  <c r="F17" i="158"/>
  <c r="E17" i="158"/>
  <c r="D17" i="158"/>
  <c r="C17" i="158"/>
  <c r="H16" i="158"/>
  <c r="G16" i="158"/>
  <c r="F16" i="158"/>
  <c r="E16" i="158"/>
  <c r="D16" i="158"/>
  <c r="C16" i="158"/>
  <c r="H15" i="158"/>
  <c r="G15" i="158"/>
  <c r="F15" i="158"/>
  <c r="E15" i="158"/>
  <c r="D15" i="158"/>
  <c r="C15" i="158"/>
  <c r="H14" i="158"/>
  <c r="G14" i="158"/>
  <c r="F14" i="158"/>
  <c r="E14" i="158"/>
  <c r="D14" i="158"/>
  <c r="C14" i="158"/>
  <c r="H13" i="158"/>
  <c r="G13" i="158"/>
  <c r="F13" i="158"/>
  <c r="E13" i="158"/>
  <c r="D13" i="158"/>
  <c r="C13" i="158"/>
  <c r="H12" i="158"/>
  <c r="G12" i="158"/>
  <c r="F12" i="158"/>
  <c r="E12" i="158"/>
  <c r="D12" i="158"/>
  <c r="C12" i="158"/>
  <c r="H11" i="158"/>
  <c r="G11" i="158"/>
  <c r="F11" i="158"/>
  <c r="E11" i="158"/>
  <c r="D11" i="158"/>
  <c r="C11" i="158"/>
  <c r="H10" i="158"/>
  <c r="G10" i="158"/>
  <c r="F10" i="158"/>
  <c r="E10" i="158"/>
  <c r="D10" i="158"/>
  <c r="H9" i="158"/>
  <c r="G9" i="158"/>
  <c r="F9" i="158"/>
  <c r="E9" i="158"/>
  <c r="D9" i="158"/>
  <c r="C9" i="158"/>
  <c r="H8" i="158"/>
  <c r="G8" i="158"/>
  <c r="F8" i="158"/>
  <c r="E8" i="158"/>
  <c r="D8" i="158"/>
  <c r="C8" i="158"/>
  <c r="H7" i="158"/>
  <c r="G7" i="158"/>
  <c r="F7" i="158"/>
  <c r="E7" i="158"/>
  <c r="D7" i="158"/>
  <c r="C7" i="158"/>
  <c r="H6" i="158"/>
  <c r="B44" i="158" s="1"/>
  <c r="G6" i="158"/>
  <c r="B43" i="158" s="1"/>
  <c r="F6" i="158"/>
  <c r="B42" i="158" s="1"/>
  <c r="E6" i="158"/>
  <c r="B41" i="158" s="1"/>
  <c r="D6" i="158"/>
  <c r="B40" i="158" s="1"/>
  <c r="C6" i="158"/>
  <c r="B39" i="158" s="1"/>
  <c r="C42" i="158" l="1"/>
  <c r="D42" i="158" s="1"/>
  <c r="C40" i="158"/>
  <c r="D40" i="158" s="1"/>
  <c r="C38" i="158"/>
  <c r="D38" i="158" s="1"/>
  <c r="C44" i="158"/>
  <c r="D44" i="158" s="1"/>
  <c r="C41" i="158"/>
  <c r="D41" i="158" s="1"/>
  <c r="C39" i="158"/>
  <c r="D39" i="158" s="1"/>
  <c r="C43" i="158"/>
  <c r="D43" i="158" s="1"/>
  <c r="I12" i="7"/>
  <c r="I73" i="137" l="1"/>
  <c r="N203" i="66" l="1"/>
  <c r="O202" i="66"/>
  <c r="M30" i="29" l="1"/>
  <c r="N30" i="29" s="1"/>
  <c r="M29" i="29"/>
  <c r="N29" i="29" s="1"/>
  <c r="L69" i="30"/>
  <c r="L68" i="30"/>
  <c r="L67" i="30"/>
  <c r="L66" i="30"/>
  <c r="L65" i="30"/>
  <c r="M65" i="30" s="1"/>
  <c r="N65" i="30" s="1"/>
  <c r="L64" i="30"/>
  <c r="L63" i="30"/>
  <c r="L62" i="30"/>
  <c r="L61" i="30"/>
  <c r="M61" i="30" s="1"/>
  <c r="N61" i="30" s="1"/>
  <c r="L60" i="30"/>
  <c r="L59" i="30"/>
  <c r="L58" i="30"/>
  <c r="L57" i="30"/>
  <c r="L54" i="30"/>
  <c r="L53" i="30"/>
  <c r="L52" i="30"/>
  <c r="L50" i="33"/>
  <c r="L49" i="33"/>
  <c r="L48" i="33"/>
  <c r="N48" i="33" s="1"/>
  <c r="L47" i="33"/>
  <c r="L46" i="33"/>
  <c r="N46" i="33" s="1"/>
  <c r="L45" i="33"/>
  <c r="L44" i="33"/>
  <c r="N44" i="33" s="1"/>
  <c r="L43" i="33"/>
  <c r="L42" i="33"/>
  <c r="L40" i="33"/>
  <c r="L39" i="33"/>
  <c r="L38" i="33"/>
  <c r="N38" i="33" s="1"/>
  <c r="D37" i="33"/>
  <c r="L81" i="34"/>
  <c r="M81" i="34" s="1"/>
  <c r="N81" i="34" s="1"/>
  <c r="L80" i="34"/>
  <c r="M80" i="34" s="1"/>
  <c r="N80" i="34" s="1"/>
  <c r="L79" i="34"/>
  <c r="M79" i="34" s="1"/>
  <c r="N79" i="34" s="1"/>
  <c r="L78" i="34"/>
  <c r="M78" i="34" s="1"/>
  <c r="N78" i="34" s="1"/>
  <c r="L77" i="34"/>
  <c r="M77" i="34" s="1"/>
  <c r="N77" i="34" s="1"/>
  <c r="L75" i="34"/>
  <c r="M75" i="34" s="1"/>
  <c r="N75" i="34" s="1"/>
  <c r="L74" i="34"/>
  <c r="M74" i="34" s="1"/>
  <c r="N74" i="34" s="1"/>
  <c r="L72" i="34"/>
  <c r="L71" i="34"/>
  <c r="L70" i="34"/>
  <c r="M70" i="34" s="1"/>
  <c r="N70" i="34" s="1"/>
  <c r="M69" i="34"/>
  <c r="N69" i="34" s="1"/>
  <c r="M68" i="34"/>
  <c r="N68" i="34" s="1"/>
  <c r="L67" i="34"/>
  <c r="M67" i="34" s="1"/>
  <c r="N67" i="34" s="1"/>
  <c r="M66" i="34"/>
  <c r="N66" i="34" s="1"/>
  <c r="M65" i="34"/>
  <c r="N65" i="34" s="1"/>
  <c r="L64" i="34"/>
  <c r="M64" i="34" s="1"/>
  <c r="N64" i="34" s="1"/>
  <c r="M63" i="34"/>
  <c r="N63" i="34" s="1"/>
  <c r="L61" i="34"/>
  <c r="L60" i="34"/>
  <c r="L59" i="34"/>
  <c r="L58" i="34"/>
  <c r="C68" i="34"/>
  <c r="E66" i="34"/>
  <c r="D66" i="34"/>
  <c r="C66" i="34"/>
  <c r="L73" i="35"/>
  <c r="L72" i="35"/>
  <c r="L71" i="35"/>
  <c r="L70" i="35"/>
  <c r="L69" i="35"/>
  <c r="L68" i="35"/>
  <c r="L67" i="35"/>
  <c r="L66" i="35"/>
  <c r="L65" i="35"/>
  <c r="L64" i="35"/>
  <c r="L63" i="35"/>
  <c r="L62" i="35"/>
  <c r="L61" i="35"/>
  <c r="L56" i="35"/>
  <c r="L21" i="36"/>
  <c r="L22" i="36"/>
  <c r="L45" i="149"/>
  <c r="L44" i="149"/>
  <c r="L43" i="149"/>
  <c r="L42" i="149"/>
  <c r="L41" i="149"/>
  <c r="L40" i="149"/>
  <c r="L39" i="149"/>
  <c r="L39" i="77"/>
  <c r="L38" i="77"/>
  <c r="L37" i="77"/>
  <c r="L36" i="77"/>
  <c r="L35" i="77"/>
  <c r="L34" i="77"/>
  <c r="L33" i="77"/>
  <c r="L32" i="77"/>
  <c r="L31" i="77"/>
  <c r="L30" i="77"/>
  <c r="L29" i="77"/>
  <c r="D39" i="77"/>
  <c r="D38" i="77"/>
  <c r="L78" i="38"/>
  <c r="L77" i="38"/>
  <c r="L76" i="38"/>
  <c r="L75" i="38"/>
  <c r="L74" i="38"/>
  <c r="L72" i="38"/>
  <c r="L70" i="38"/>
  <c r="L69" i="38"/>
  <c r="L68" i="38"/>
  <c r="L67" i="38"/>
  <c r="L66" i="38"/>
  <c r="L65" i="38"/>
  <c r="L64" i="38"/>
  <c r="L61" i="38"/>
  <c r="L60" i="38"/>
  <c r="L59" i="38"/>
  <c r="L58" i="38"/>
  <c r="C66" i="38"/>
  <c r="L54" i="40"/>
  <c r="L53" i="40"/>
  <c r="L52" i="40"/>
  <c r="L51" i="40"/>
  <c r="L50" i="40"/>
  <c r="L49" i="40"/>
  <c r="L29" i="41"/>
  <c r="L28" i="41"/>
  <c r="L27" i="41"/>
  <c r="L26" i="41"/>
  <c r="L25" i="41"/>
  <c r="L24" i="41"/>
  <c r="L49" i="87"/>
  <c r="L75" i="87" s="1"/>
  <c r="L136" i="43"/>
  <c r="L135" i="43"/>
  <c r="L134" i="43"/>
  <c r="L133" i="43"/>
  <c r="L132" i="43"/>
  <c r="L131" i="43"/>
  <c r="L130" i="43"/>
  <c r="L129" i="43"/>
  <c r="L128" i="43"/>
  <c r="N128" i="43" s="1"/>
  <c r="L127" i="43"/>
  <c r="L126" i="43"/>
  <c r="L125" i="43"/>
  <c r="L124" i="43"/>
  <c r="L123" i="43"/>
  <c r="L122" i="43"/>
  <c r="L119" i="43"/>
  <c r="L118" i="43"/>
  <c r="L117" i="43"/>
  <c r="L116" i="43"/>
  <c r="N116" i="43" s="1"/>
  <c r="L114" i="43"/>
  <c r="L113" i="43"/>
  <c r="L112" i="43"/>
  <c r="L111" i="43"/>
  <c r="L110" i="43"/>
  <c r="L109" i="43"/>
  <c r="N109" i="43" s="1"/>
  <c r="L108" i="43"/>
  <c r="L107" i="43"/>
  <c r="N107" i="43" s="1"/>
  <c r="L106" i="43"/>
  <c r="N106" i="43" s="1"/>
  <c r="L105" i="43"/>
  <c r="N105" i="43" s="1"/>
  <c r="L102" i="43"/>
  <c r="L101" i="43"/>
  <c r="L100" i="43"/>
  <c r="L99" i="43"/>
  <c r="L98" i="43"/>
  <c r="L96" i="43"/>
  <c r="L95" i="43"/>
  <c r="L94" i="43"/>
  <c r="C126" i="43"/>
  <c r="D94" i="43"/>
  <c r="C94" i="43"/>
  <c r="D93" i="43"/>
  <c r="L59" i="60"/>
  <c r="L58" i="60"/>
  <c r="L57" i="60"/>
  <c r="L56" i="60"/>
  <c r="L55" i="60"/>
  <c r="L54" i="60"/>
  <c r="L53" i="60"/>
  <c r="L52" i="60"/>
  <c r="L50" i="60"/>
  <c r="L49" i="60"/>
  <c r="L48" i="60"/>
  <c r="L47" i="60"/>
  <c r="M64" i="44"/>
  <c r="N64" i="44" s="1"/>
  <c r="M63" i="44"/>
  <c r="N63" i="44" s="1"/>
  <c r="M62" i="44"/>
  <c r="N62" i="44" s="1"/>
  <c r="M60" i="44"/>
  <c r="N60" i="44" s="1"/>
  <c r="M59" i="44"/>
  <c r="M58" i="44"/>
  <c r="N58" i="44" s="1"/>
  <c r="M57" i="44"/>
  <c r="N57" i="44" s="1"/>
  <c r="M56" i="44"/>
  <c r="N56" i="44" s="1"/>
  <c r="L55" i="44"/>
  <c r="L53" i="44"/>
  <c r="L52" i="44"/>
  <c r="L51" i="44"/>
  <c r="L50" i="44"/>
  <c r="M49" i="44"/>
  <c r="N49" i="44" s="1"/>
  <c r="L20" i="45"/>
  <c r="L22" i="45" s="1"/>
  <c r="M22" i="45" s="1"/>
  <c r="N22" i="45" s="1"/>
  <c r="L23" i="46"/>
  <c r="L28" i="46" s="1"/>
  <c r="M28" i="46" s="1"/>
  <c r="N28" i="46" s="1"/>
  <c r="L18" i="48"/>
  <c r="L20" i="48" s="1"/>
  <c r="M20" i="48" s="1"/>
  <c r="N20" i="48" s="1"/>
  <c r="M30" i="86"/>
  <c r="N30" i="86" s="1"/>
  <c r="M29" i="86"/>
  <c r="N29" i="86" s="1"/>
  <c r="M28" i="86"/>
  <c r="N28" i="86" s="1"/>
  <c r="M27" i="86"/>
  <c r="N27" i="86" s="1"/>
  <c r="M26" i="86"/>
  <c r="N26" i="86" s="1"/>
  <c r="M25" i="86"/>
  <c r="N25" i="86" s="1"/>
  <c r="E29" i="86"/>
  <c r="E26" i="86" s="1"/>
  <c r="C29" i="86"/>
  <c r="C26" i="86" s="1"/>
  <c r="D26" i="86"/>
  <c r="L41" i="56"/>
  <c r="L40" i="56"/>
  <c r="L39" i="56"/>
  <c r="L38" i="56"/>
  <c r="L37" i="56"/>
  <c r="L36" i="56"/>
  <c r="L35" i="56"/>
  <c r="L34" i="56"/>
  <c r="L33" i="56"/>
  <c r="D33" i="56"/>
  <c r="D32" i="56"/>
  <c r="L100" i="17"/>
  <c r="L99" i="17"/>
  <c r="L98" i="17"/>
  <c r="L97" i="17"/>
  <c r="L96" i="17"/>
  <c r="L94" i="17"/>
  <c r="L93" i="17"/>
  <c r="L92" i="17"/>
  <c r="L91" i="17"/>
  <c r="L90" i="17"/>
  <c r="L89" i="17"/>
  <c r="L88" i="17"/>
  <c r="L87" i="17"/>
  <c r="L86" i="17"/>
  <c r="L85" i="17"/>
  <c r="L84" i="17"/>
  <c r="L83" i="17"/>
  <c r="L82" i="17"/>
  <c r="L81" i="17"/>
  <c r="L80" i="17"/>
  <c r="L78" i="17"/>
  <c r="L77" i="17"/>
  <c r="L76" i="17"/>
  <c r="L75" i="17"/>
  <c r="L74" i="17"/>
  <c r="L73" i="17"/>
  <c r="L72" i="17"/>
  <c r="L71" i="17"/>
  <c r="L70" i="17"/>
  <c r="L69" i="17"/>
  <c r="L68" i="17"/>
  <c r="L67" i="17"/>
  <c r="L65" i="17"/>
  <c r="L64" i="17"/>
  <c r="D65" i="17"/>
  <c r="D64" i="17"/>
  <c r="C64" i="17"/>
  <c r="D63" i="17"/>
  <c r="L31" i="23"/>
  <c r="L30" i="23"/>
  <c r="L28" i="23"/>
  <c r="L27" i="23"/>
  <c r="D27" i="23"/>
  <c r="D26" i="23"/>
  <c r="L32" i="18"/>
  <c r="L30" i="18"/>
  <c r="L29" i="18"/>
  <c r="L28" i="18"/>
  <c r="L26" i="18"/>
  <c r="D27" i="18"/>
  <c r="L46" i="22"/>
  <c r="L45" i="22"/>
  <c r="L42" i="22"/>
  <c r="L41" i="22"/>
  <c r="L40" i="22"/>
  <c r="L39" i="22"/>
  <c r="L38" i="22"/>
  <c r="L35" i="22"/>
  <c r="F13" i="22"/>
  <c r="F25" i="22"/>
  <c r="D37" i="22"/>
  <c r="L23" i="7"/>
  <c r="L79" i="8"/>
  <c r="L78" i="8"/>
  <c r="L77" i="8"/>
  <c r="L76" i="8"/>
  <c r="L75" i="8"/>
  <c r="L74" i="8"/>
  <c r="L72" i="8"/>
  <c r="L71" i="8"/>
  <c r="L70" i="8"/>
  <c r="L69" i="8"/>
  <c r="L68" i="8"/>
  <c r="L65" i="8"/>
  <c r="L63" i="8"/>
  <c r="L62" i="8"/>
  <c r="L61" i="8"/>
  <c r="L60" i="8"/>
  <c r="L59" i="8"/>
  <c r="D56" i="8"/>
  <c r="L50" i="9"/>
  <c r="L49" i="9"/>
  <c r="L48" i="9"/>
  <c r="L47" i="9"/>
  <c r="L46" i="9"/>
  <c r="L45" i="9"/>
  <c r="L44" i="9"/>
  <c r="L42" i="9"/>
  <c r="L41" i="9"/>
  <c r="L40" i="9"/>
  <c r="L21" i="10"/>
  <c r="M71" i="11"/>
  <c r="K24" i="10"/>
  <c r="K23" i="10"/>
  <c r="K22" i="10"/>
  <c r="L99" i="11"/>
  <c r="L98" i="11"/>
  <c r="L97" i="11"/>
  <c r="L96" i="11"/>
  <c r="L95" i="11"/>
  <c r="L94" i="11"/>
  <c r="L93" i="11"/>
  <c r="L92" i="11"/>
  <c r="L90" i="11"/>
  <c r="L89" i="11"/>
  <c r="L88" i="11"/>
  <c r="L86" i="11"/>
  <c r="L85" i="11"/>
  <c r="L84" i="11"/>
  <c r="L81" i="11"/>
  <c r="L80" i="11"/>
  <c r="L79" i="11"/>
  <c r="L78" i="11"/>
  <c r="L77" i="11"/>
  <c r="L76" i="11"/>
  <c r="L74" i="11"/>
  <c r="M45" i="49"/>
  <c r="M57" i="49"/>
  <c r="N57" i="49" s="1"/>
  <c r="M56" i="49"/>
  <c r="N56" i="49" s="1"/>
  <c r="M55" i="49"/>
  <c r="M54" i="49"/>
  <c r="N54" i="49" s="1"/>
  <c r="M53" i="49"/>
  <c r="N53" i="49" s="1"/>
  <c r="M52" i="49"/>
  <c r="N52" i="49" s="1"/>
  <c r="M51" i="49"/>
  <c r="N51" i="49" s="1"/>
  <c r="L48" i="49"/>
  <c r="U203" i="66"/>
  <c r="L50" i="49"/>
  <c r="L47" i="22"/>
  <c r="L43" i="22"/>
  <c r="L63" i="38"/>
  <c r="L48" i="149"/>
  <c r="O11" i="32"/>
  <c r="O14" i="32" s="1"/>
  <c r="M61" i="8" l="1"/>
  <c r="N61" i="8"/>
  <c r="M63" i="8"/>
  <c r="N63" i="8"/>
  <c r="M62" i="8"/>
  <c r="N62" i="8" s="1"/>
  <c r="M65" i="8"/>
  <c r="N65" i="8" s="1"/>
  <c r="K26" i="10"/>
  <c r="L26" i="10" s="1"/>
  <c r="N26" i="10" s="1"/>
  <c r="M62" i="30"/>
  <c r="N62" i="30" s="1"/>
  <c r="M63" i="30"/>
  <c r="N63" i="30" s="1"/>
  <c r="M67" i="30"/>
  <c r="N67" i="30"/>
  <c r="M64" i="30"/>
  <c r="N64" i="30" s="1"/>
  <c r="M68" i="30"/>
  <c r="N68" i="30" s="1"/>
  <c r="M40" i="66"/>
  <c r="L24" i="36"/>
  <c r="M24" i="36" s="1"/>
  <c r="N24" i="36" s="1"/>
  <c r="L51" i="149"/>
  <c r="M51" i="149" s="1"/>
  <c r="N51" i="149" s="1"/>
  <c r="L41" i="77"/>
  <c r="M41" i="77" s="1"/>
  <c r="N41" i="77" s="1"/>
  <c r="L31" i="41"/>
  <c r="M60" i="30"/>
  <c r="N60" i="30"/>
  <c r="M69" i="30"/>
  <c r="N69" i="30" s="1"/>
  <c r="M66" i="30"/>
  <c r="N66" i="30" s="1"/>
  <c r="M59" i="30"/>
  <c r="N59" i="30" s="1"/>
  <c r="M58" i="30"/>
  <c r="N58" i="30" s="1"/>
  <c r="M57" i="30"/>
  <c r="N57" i="30" s="1"/>
  <c r="M74" i="11"/>
  <c r="N74" i="11" s="1"/>
  <c r="M79" i="11"/>
  <c r="N79" i="11" s="1"/>
  <c r="M85" i="11"/>
  <c r="N85" i="11" s="1"/>
  <c r="M90" i="11"/>
  <c r="N90" i="11" s="1"/>
  <c r="M95" i="11"/>
  <c r="N95" i="11" s="1"/>
  <c r="M99" i="11"/>
  <c r="N99" i="11" s="1"/>
  <c r="M42" i="9"/>
  <c r="N42" i="9" s="1"/>
  <c r="M47" i="9"/>
  <c r="N47" i="9"/>
  <c r="M38" i="22"/>
  <c r="N38" i="22"/>
  <c r="M42" i="22"/>
  <c r="N42" i="22" s="1"/>
  <c r="M26" i="18"/>
  <c r="N26" i="18" s="1"/>
  <c r="M32" i="18"/>
  <c r="N32" i="18" s="1"/>
  <c r="M28" i="23"/>
  <c r="N28" i="23" s="1"/>
  <c r="M65" i="17"/>
  <c r="N65" i="17" s="1"/>
  <c r="M70" i="17"/>
  <c r="N70" i="17" s="1"/>
  <c r="M74" i="17"/>
  <c r="N74" i="17"/>
  <c r="M78" i="17"/>
  <c r="N78" i="17" s="1"/>
  <c r="M83" i="17"/>
  <c r="N83" i="17" s="1"/>
  <c r="M87" i="17"/>
  <c r="N87" i="17" s="1"/>
  <c r="M91" i="17"/>
  <c r="N91" i="17" s="1"/>
  <c r="M96" i="17"/>
  <c r="N96" i="17" s="1"/>
  <c r="M100" i="17"/>
  <c r="N100" i="17" s="1"/>
  <c r="M34" i="56"/>
  <c r="N34" i="56" s="1"/>
  <c r="M38" i="56"/>
  <c r="N38" i="56" s="1"/>
  <c r="M53" i="44"/>
  <c r="N53" i="44" s="1"/>
  <c r="M58" i="60"/>
  <c r="N58" i="60" s="1"/>
  <c r="M49" i="87"/>
  <c r="M27" i="41"/>
  <c r="N27" i="41"/>
  <c r="M54" i="40"/>
  <c r="N54" i="40" s="1"/>
  <c r="M59" i="40"/>
  <c r="N59" i="40" s="1"/>
  <c r="M61" i="38"/>
  <c r="N61" i="38" s="1"/>
  <c r="M67" i="38"/>
  <c r="N67" i="38" s="1"/>
  <c r="M72" i="38"/>
  <c r="N72" i="38" s="1"/>
  <c r="M77" i="38"/>
  <c r="N77" i="38" s="1"/>
  <c r="M44" i="149"/>
  <c r="N44" i="149" s="1"/>
  <c r="M56" i="35"/>
  <c r="N56" i="35" s="1"/>
  <c r="M64" i="35"/>
  <c r="N64" i="35" s="1"/>
  <c r="M68" i="35"/>
  <c r="N68" i="35" s="1"/>
  <c r="M72" i="35"/>
  <c r="N72" i="35" s="1"/>
  <c r="M72" i="34"/>
  <c r="N72" i="34"/>
  <c r="M42" i="33"/>
  <c r="N42" i="33" s="1"/>
  <c r="M46" i="33"/>
  <c r="M50" i="33"/>
  <c r="N50" i="33" s="1"/>
  <c r="M86" i="11"/>
  <c r="N86" i="11"/>
  <c r="M96" i="11"/>
  <c r="N96" i="11" s="1"/>
  <c r="L22" i="10"/>
  <c r="N22" i="10" s="1"/>
  <c r="M44" i="9"/>
  <c r="N44" i="9" s="1"/>
  <c r="M48" i="9"/>
  <c r="N48" i="9" s="1"/>
  <c r="M39" i="22"/>
  <c r="N39" i="22" s="1"/>
  <c r="M45" i="22"/>
  <c r="N45" i="22" s="1"/>
  <c r="M28" i="18"/>
  <c r="N28" i="18" s="1"/>
  <c r="M30" i="23"/>
  <c r="N30" i="23" s="1"/>
  <c r="M67" i="17"/>
  <c r="N67" i="17" s="1"/>
  <c r="M71" i="17"/>
  <c r="N71" i="17" s="1"/>
  <c r="M75" i="17"/>
  <c r="N75" i="17" s="1"/>
  <c r="M80" i="17"/>
  <c r="N80" i="17" s="1"/>
  <c r="M84" i="17"/>
  <c r="N84" i="17" s="1"/>
  <c r="M88" i="17"/>
  <c r="N88" i="17" s="1"/>
  <c r="M92" i="17"/>
  <c r="N92" i="17" s="1"/>
  <c r="M97" i="17"/>
  <c r="N97" i="17" s="1"/>
  <c r="M35" i="56"/>
  <c r="N35" i="56" s="1"/>
  <c r="M39" i="56"/>
  <c r="N39" i="56" s="1"/>
  <c r="M18" i="48"/>
  <c r="N18" i="48" s="1"/>
  <c r="M50" i="44"/>
  <c r="N50" i="44" s="1"/>
  <c r="M55" i="44"/>
  <c r="N55" i="44" s="1"/>
  <c r="M24" i="41"/>
  <c r="N24" i="41" s="1"/>
  <c r="M28" i="41"/>
  <c r="N28" i="41" s="1"/>
  <c r="M51" i="40"/>
  <c r="N51" i="40" s="1"/>
  <c r="M56" i="40"/>
  <c r="N56" i="40" s="1"/>
  <c r="M60" i="40"/>
  <c r="N60" i="40" s="1"/>
  <c r="M58" i="38"/>
  <c r="N58" i="38" s="1"/>
  <c r="M64" i="38"/>
  <c r="N64" i="38" s="1"/>
  <c r="M68" i="38"/>
  <c r="N68" i="38" s="1"/>
  <c r="M74" i="38"/>
  <c r="N74" i="38" s="1"/>
  <c r="M78" i="38"/>
  <c r="N78" i="38" s="1"/>
  <c r="M41" i="149"/>
  <c r="N41" i="149" s="1"/>
  <c r="M45" i="149"/>
  <c r="N45" i="149" s="1"/>
  <c r="M61" i="35"/>
  <c r="N61" i="35" s="1"/>
  <c r="M65" i="35"/>
  <c r="N65" i="35"/>
  <c r="M69" i="35"/>
  <c r="N69" i="35"/>
  <c r="M73" i="35"/>
  <c r="N73" i="35" s="1"/>
  <c r="M38" i="33"/>
  <c r="M43" i="33"/>
  <c r="N43" i="33" s="1"/>
  <c r="M47" i="33"/>
  <c r="N47" i="33" s="1"/>
  <c r="M48" i="149"/>
  <c r="N48" i="149" s="1"/>
  <c r="M76" i="11"/>
  <c r="N76" i="11"/>
  <c r="M92" i="11"/>
  <c r="N92" i="11" s="1"/>
  <c r="M93" i="11"/>
  <c r="N93" i="11" s="1"/>
  <c r="M40" i="9"/>
  <c r="N40" i="9" s="1"/>
  <c r="M49" i="9"/>
  <c r="N49" i="9" s="1"/>
  <c r="M23" i="7"/>
  <c r="N23" i="7" s="1"/>
  <c r="M40" i="22"/>
  <c r="N40" i="22" s="1"/>
  <c r="M46" i="22"/>
  <c r="N46" i="22"/>
  <c r="M29" i="18"/>
  <c r="N29" i="18" s="1"/>
  <c r="M31" i="23"/>
  <c r="N31" i="23" s="1"/>
  <c r="M68" i="17"/>
  <c r="N68" i="17" s="1"/>
  <c r="M72" i="17"/>
  <c r="N72" i="17" s="1"/>
  <c r="M76" i="17"/>
  <c r="N76" i="17" s="1"/>
  <c r="M81" i="17"/>
  <c r="N81" i="17" s="1"/>
  <c r="M85" i="17"/>
  <c r="N85" i="17"/>
  <c r="M89" i="17"/>
  <c r="N89" i="17" s="1"/>
  <c r="M93" i="17"/>
  <c r="N93" i="17" s="1"/>
  <c r="M98" i="17"/>
  <c r="N98" i="17" s="1"/>
  <c r="M36" i="56"/>
  <c r="N36" i="56" s="1"/>
  <c r="M40" i="56"/>
  <c r="N40" i="56" s="1"/>
  <c r="M23" i="46"/>
  <c r="N23" i="46" s="1"/>
  <c r="M51" i="44"/>
  <c r="N51" i="44" s="1"/>
  <c r="M25" i="41"/>
  <c r="N25" i="41" s="1"/>
  <c r="M29" i="41"/>
  <c r="N29" i="41"/>
  <c r="M52" i="40"/>
  <c r="N52" i="40"/>
  <c r="M57" i="40"/>
  <c r="N57" i="40" s="1"/>
  <c r="M61" i="40"/>
  <c r="N61" i="40" s="1"/>
  <c r="M59" i="38"/>
  <c r="N59" i="38" s="1"/>
  <c r="M65" i="38"/>
  <c r="N65" i="38" s="1"/>
  <c r="M69" i="38"/>
  <c r="N69" i="38"/>
  <c r="M75" i="38"/>
  <c r="N75" i="38"/>
  <c r="M42" i="149"/>
  <c r="N42" i="149" s="1"/>
  <c r="M22" i="36"/>
  <c r="N22" i="36" s="1"/>
  <c r="M62" i="35"/>
  <c r="N62" i="35" s="1"/>
  <c r="M66" i="35"/>
  <c r="N66" i="35" s="1"/>
  <c r="M70" i="35"/>
  <c r="N70" i="35" s="1"/>
  <c r="M39" i="33"/>
  <c r="N39" i="33" s="1"/>
  <c r="M44" i="33"/>
  <c r="M48" i="33"/>
  <c r="M80" i="11"/>
  <c r="N80" i="11" s="1"/>
  <c r="M77" i="11"/>
  <c r="N77" i="11"/>
  <c r="M81" i="11"/>
  <c r="N81" i="11" s="1"/>
  <c r="M88" i="11"/>
  <c r="N88" i="11" s="1"/>
  <c r="M97" i="11"/>
  <c r="N97" i="11" s="1"/>
  <c r="L23" i="10"/>
  <c r="N23" i="10" s="1"/>
  <c r="M45" i="9"/>
  <c r="N45" i="9" s="1"/>
  <c r="M43" i="22"/>
  <c r="N43" i="22" s="1"/>
  <c r="M78" i="11"/>
  <c r="N78" i="11" s="1"/>
  <c r="M84" i="11"/>
  <c r="N84" i="11" s="1"/>
  <c r="M89" i="11"/>
  <c r="N89" i="11" s="1"/>
  <c r="M94" i="11"/>
  <c r="N94" i="11" s="1"/>
  <c r="M98" i="11"/>
  <c r="N98" i="11" s="1"/>
  <c r="L24" i="10"/>
  <c r="N24" i="10" s="1"/>
  <c r="M41" i="9"/>
  <c r="N41" i="9" s="1"/>
  <c r="M46" i="9"/>
  <c r="N46" i="9" s="1"/>
  <c r="M50" i="9"/>
  <c r="N50" i="9" s="1"/>
  <c r="M41" i="22"/>
  <c r="N41" i="22" s="1"/>
  <c r="M30" i="18"/>
  <c r="N30" i="18" s="1"/>
  <c r="M27" i="23"/>
  <c r="N27" i="23" s="1"/>
  <c r="M64" i="17"/>
  <c r="N64" i="17" s="1"/>
  <c r="M69" i="17"/>
  <c r="N69" i="17" s="1"/>
  <c r="M73" i="17"/>
  <c r="N73" i="17" s="1"/>
  <c r="M77" i="17"/>
  <c r="N77" i="17" s="1"/>
  <c r="M82" i="17"/>
  <c r="N82" i="17" s="1"/>
  <c r="M86" i="17"/>
  <c r="N86" i="17" s="1"/>
  <c r="M90" i="17"/>
  <c r="N90" i="17" s="1"/>
  <c r="M94" i="17"/>
  <c r="N94" i="17"/>
  <c r="M99" i="17"/>
  <c r="N99" i="17" s="1"/>
  <c r="M33" i="56"/>
  <c r="N33" i="56" s="1"/>
  <c r="M37" i="56"/>
  <c r="N37" i="56" s="1"/>
  <c r="M41" i="56"/>
  <c r="N41" i="56" s="1"/>
  <c r="M20" i="45"/>
  <c r="N20" i="45" s="1"/>
  <c r="M52" i="44"/>
  <c r="N52" i="44" s="1"/>
  <c r="M57" i="60"/>
  <c r="N57" i="60" s="1"/>
  <c r="M26" i="41"/>
  <c r="N26" i="41" s="1"/>
  <c r="M49" i="40"/>
  <c r="N49" i="40"/>
  <c r="M53" i="40"/>
  <c r="N53" i="40" s="1"/>
  <c r="M58" i="40"/>
  <c r="N58" i="40" s="1"/>
  <c r="M62" i="40"/>
  <c r="N62" i="40" s="1"/>
  <c r="M60" i="38"/>
  <c r="N60" i="38" s="1"/>
  <c r="M66" i="38"/>
  <c r="N66" i="38" s="1"/>
  <c r="M70" i="38"/>
  <c r="N70" i="38" s="1"/>
  <c r="M76" i="38"/>
  <c r="N76" i="38" s="1"/>
  <c r="M39" i="149"/>
  <c r="N39" i="149" s="1"/>
  <c r="M43" i="149"/>
  <c r="N43" i="149" s="1"/>
  <c r="M21" i="36"/>
  <c r="N21" i="36" s="1"/>
  <c r="M63" i="35"/>
  <c r="N63" i="35" s="1"/>
  <c r="M67" i="35"/>
  <c r="N67" i="35" s="1"/>
  <c r="M71" i="35"/>
  <c r="N71" i="35" s="1"/>
  <c r="M71" i="34"/>
  <c r="N71" i="34" s="1"/>
  <c r="M40" i="33"/>
  <c r="N40" i="33"/>
  <c r="M45" i="33"/>
  <c r="N45" i="33" s="1"/>
  <c r="M49" i="33"/>
  <c r="N49" i="33" s="1"/>
  <c r="M40" i="149"/>
  <c r="N40" i="149" s="1"/>
  <c r="M29" i="77"/>
  <c r="N29" i="77" s="1"/>
  <c r="M33" i="77"/>
  <c r="N33" i="77" s="1"/>
  <c r="M37" i="77"/>
  <c r="N37" i="77" s="1"/>
  <c r="M30" i="77"/>
  <c r="N30" i="77" s="1"/>
  <c r="M38" i="77"/>
  <c r="N38" i="77" s="1"/>
  <c r="M31" i="77"/>
  <c r="N31" i="77" s="1"/>
  <c r="M35" i="77"/>
  <c r="N35" i="77" s="1"/>
  <c r="M39" i="77"/>
  <c r="N39" i="77" s="1"/>
  <c r="M32" i="77"/>
  <c r="N32" i="77" s="1"/>
  <c r="M36" i="77"/>
  <c r="N36" i="77" s="1"/>
  <c r="M49" i="60"/>
  <c r="N49" i="60" s="1"/>
  <c r="M54" i="60"/>
  <c r="N54" i="60"/>
  <c r="M50" i="60"/>
  <c r="N50" i="60" s="1"/>
  <c r="M55" i="60"/>
  <c r="N55" i="60"/>
  <c r="M52" i="60"/>
  <c r="N52" i="60" s="1"/>
  <c r="M56" i="60"/>
  <c r="N56" i="60" s="1"/>
  <c r="M48" i="60"/>
  <c r="N48" i="60" s="1"/>
  <c r="M53" i="60"/>
  <c r="N53" i="60" s="1"/>
  <c r="M34" i="77"/>
  <c r="N34" i="77" s="1"/>
  <c r="M60" i="34"/>
  <c r="N60" i="34" s="1"/>
  <c r="M61" i="34"/>
  <c r="N61" i="34"/>
  <c r="M58" i="34"/>
  <c r="N58" i="34" s="1"/>
  <c r="M59" i="34"/>
  <c r="N59" i="34" s="1"/>
  <c r="M50" i="40"/>
  <c r="N50" i="40" s="1"/>
  <c r="M59" i="60"/>
  <c r="N59" i="60" s="1"/>
  <c r="M48" i="49"/>
  <c r="N48" i="49" s="1"/>
  <c r="M47" i="60"/>
  <c r="N47" i="60" s="1"/>
  <c r="M52" i="30"/>
  <c r="N52" i="30" s="1"/>
  <c r="M53" i="30"/>
  <c r="N53" i="30" s="1"/>
  <c r="M54" i="30"/>
  <c r="N54" i="30" s="1"/>
  <c r="M60" i="8"/>
  <c r="N60" i="8" s="1"/>
  <c r="M71" i="8"/>
  <c r="N71" i="8" s="1"/>
  <c r="M76" i="8"/>
  <c r="N76" i="8" s="1"/>
  <c r="M68" i="8"/>
  <c r="N68" i="8" s="1"/>
  <c r="M72" i="8"/>
  <c r="N72" i="8" s="1"/>
  <c r="M77" i="8"/>
  <c r="N77" i="8" s="1"/>
  <c r="M69" i="8"/>
  <c r="N69" i="8" s="1"/>
  <c r="M74" i="8"/>
  <c r="N74" i="8" s="1"/>
  <c r="M78" i="8"/>
  <c r="N78" i="8" s="1"/>
  <c r="M59" i="8"/>
  <c r="N59" i="8" s="1"/>
  <c r="M70" i="8"/>
  <c r="N70" i="8" s="1"/>
  <c r="M75" i="8"/>
  <c r="N75" i="8" s="1"/>
  <c r="M79" i="8"/>
  <c r="N79" i="8" s="1"/>
  <c r="M94" i="43"/>
  <c r="N94" i="43" s="1"/>
  <c r="M99" i="43"/>
  <c r="N99" i="43" s="1"/>
  <c r="M105" i="43"/>
  <c r="M109" i="43"/>
  <c r="M113" i="43"/>
  <c r="N113" i="43" s="1"/>
  <c r="M118" i="43"/>
  <c r="N118" i="43" s="1"/>
  <c r="M124" i="43"/>
  <c r="N124" i="43" s="1"/>
  <c r="M128" i="43"/>
  <c r="M132" i="43"/>
  <c r="N132" i="43" s="1"/>
  <c r="M136" i="43"/>
  <c r="N136" i="43" s="1"/>
  <c r="M95" i="43"/>
  <c r="N95" i="43" s="1"/>
  <c r="M100" i="43"/>
  <c r="N100" i="43" s="1"/>
  <c r="M106" i="43"/>
  <c r="M110" i="43"/>
  <c r="N110" i="43" s="1"/>
  <c r="M114" i="43"/>
  <c r="N114" i="43" s="1"/>
  <c r="M119" i="43"/>
  <c r="N119" i="43" s="1"/>
  <c r="M125" i="43"/>
  <c r="N125" i="43" s="1"/>
  <c r="M129" i="43"/>
  <c r="N129" i="43" s="1"/>
  <c r="M133" i="43"/>
  <c r="N133" i="43" s="1"/>
  <c r="M96" i="43"/>
  <c r="N96" i="43" s="1"/>
  <c r="M101" i="43"/>
  <c r="N101" i="43" s="1"/>
  <c r="M107" i="43"/>
  <c r="M111" i="43"/>
  <c r="N111" i="43" s="1"/>
  <c r="M116" i="43"/>
  <c r="M122" i="43"/>
  <c r="N122" i="43" s="1"/>
  <c r="M126" i="43"/>
  <c r="N126" i="43" s="1"/>
  <c r="M130" i="43"/>
  <c r="N130" i="43" s="1"/>
  <c r="M134" i="43"/>
  <c r="N134" i="43" s="1"/>
  <c r="M98" i="43"/>
  <c r="N98" i="43" s="1"/>
  <c r="M102" i="43"/>
  <c r="N102" i="43" s="1"/>
  <c r="M108" i="43"/>
  <c r="N108" i="43" s="1"/>
  <c r="M112" i="43"/>
  <c r="N112" i="43" s="1"/>
  <c r="M117" i="43"/>
  <c r="N117" i="43" s="1"/>
  <c r="M123" i="43"/>
  <c r="N123" i="43" s="1"/>
  <c r="M127" i="43"/>
  <c r="N127" i="43" s="1"/>
  <c r="M131" i="43"/>
  <c r="N131" i="43" s="1"/>
  <c r="M135" i="43"/>
  <c r="N135" i="43" s="1"/>
  <c r="M50" i="49"/>
  <c r="N50" i="49" s="1"/>
  <c r="M63" i="38"/>
  <c r="N63" i="38" s="1"/>
  <c r="M47" i="22"/>
  <c r="N47" i="22" s="1"/>
  <c r="L21" i="135"/>
  <c r="L21" i="50"/>
  <c r="L20" i="50"/>
  <c r="L29" i="52"/>
  <c r="L28" i="52"/>
  <c r="L27" i="52"/>
  <c r="L26" i="52"/>
  <c r="L25" i="52"/>
  <c r="K30" i="54"/>
  <c r="K32" i="54" s="1"/>
  <c r="L32" i="54" s="1"/>
  <c r="N32" i="54" s="1"/>
  <c r="D49" i="93"/>
  <c r="M89" i="24"/>
  <c r="N89" i="24" s="1"/>
  <c r="M88" i="24"/>
  <c r="N88" i="24" s="1"/>
  <c r="M87" i="24"/>
  <c r="N87" i="24" s="1"/>
  <c r="M85" i="24"/>
  <c r="N85" i="24" s="1"/>
  <c r="M84" i="24"/>
  <c r="N84" i="24" s="1"/>
  <c r="M83" i="24"/>
  <c r="N83" i="24" s="1"/>
  <c r="M82" i="24"/>
  <c r="N82" i="24" s="1"/>
  <c r="M81" i="24"/>
  <c r="N81" i="24" s="1"/>
  <c r="M80" i="24"/>
  <c r="N80" i="24" s="1"/>
  <c r="M79" i="24"/>
  <c r="N79" i="24" s="1"/>
  <c r="M78" i="24"/>
  <c r="N78" i="24" s="1"/>
  <c r="M77" i="24"/>
  <c r="N77" i="24" s="1"/>
  <c r="M76" i="24"/>
  <c r="N76" i="24" s="1"/>
  <c r="M75" i="24"/>
  <c r="N75" i="24" s="1"/>
  <c r="M74" i="24"/>
  <c r="N74" i="24" s="1"/>
  <c r="M73" i="24"/>
  <c r="N73" i="24" s="1"/>
  <c r="M72" i="24"/>
  <c r="N72" i="24" s="1"/>
  <c r="M71" i="24"/>
  <c r="M70" i="24"/>
  <c r="N70" i="24" s="1"/>
  <c r="M68" i="24"/>
  <c r="N68" i="24" s="1"/>
  <c r="M67" i="24"/>
  <c r="E89" i="24"/>
  <c r="E91" i="12"/>
  <c r="E89" i="12"/>
  <c r="L46" i="5"/>
  <c r="L45" i="5"/>
  <c r="L44" i="5"/>
  <c r="L43" i="5"/>
  <c r="L42" i="5"/>
  <c r="L41" i="5"/>
  <c r="L40" i="5"/>
  <c r="L39" i="5"/>
  <c r="L38" i="5"/>
  <c r="L37" i="5"/>
  <c r="L36" i="5"/>
  <c r="L35" i="5"/>
  <c r="L34" i="5"/>
  <c r="D36" i="5"/>
  <c r="D35" i="5"/>
  <c r="D34" i="5"/>
  <c r="L32" i="4"/>
  <c r="L31" i="4"/>
  <c r="L30" i="4"/>
  <c r="L29" i="4"/>
  <c r="L28" i="4"/>
  <c r="L34" i="53"/>
  <c r="L33" i="53"/>
  <c r="L32" i="53"/>
  <c r="L31" i="53"/>
  <c r="L30" i="53"/>
  <c r="L29" i="53"/>
  <c r="L28" i="53"/>
  <c r="N49" i="87" l="1"/>
  <c r="M75" i="87"/>
  <c r="N75" i="87" s="1"/>
  <c r="L48" i="5"/>
  <c r="M48" i="5" s="1"/>
  <c r="N48" i="5" s="1"/>
  <c r="L36" i="53"/>
  <c r="M36" i="53" s="1"/>
  <c r="N36" i="53" s="1"/>
  <c r="M31" i="41"/>
  <c r="N31" i="41"/>
  <c r="L23" i="50"/>
  <c r="M23" i="50" s="1"/>
  <c r="N23" i="50" s="1"/>
  <c r="L31" i="52"/>
  <c r="M31" i="52" s="1"/>
  <c r="N31" i="52" s="1"/>
  <c r="M38" i="5"/>
  <c r="N38" i="5" s="1"/>
  <c r="M40" i="5"/>
  <c r="N40" i="5" s="1"/>
  <c r="M44" i="5"/>
  <c r="N44" i="5" s="1"/>
  <c r="M37" i="93"/>
  <c r="N37" i="93" s="1"/>
  <c r="M41" i="93"/>
  <c r="N41" i="93" s="1"/>
  <c r="M21" i="50"/>
  <c r="N21" i="50" s="1"/>
  <c r="M37" i="5"/>
  <c r="N37" i="5" s="1"/>
  <c r="M41" i="5"/>
  <c r="N41" i="5" s="1"/>
  <c r="M45" i="5"/>
  <c r="N45" i="5"/>
  <c r="M38" i="93"/>
  <c r="N38" i="93" s="1"/>
  <c r="M42" i="93"/>
  <c r="N42" i="93" s="1"/>
  <c r="L30" i="54"/>
  <c r="N30" i="54" s="1"/>
  <c r="M21" i="135"/>
  <c r="N21" i="135" s="1"/>
  <c r="M34" i="5"/>
  <c r="N34" i="5" s="1"/>
  <c r="M43" i="93"/>
  <c r="N43" i="93" s="1"/>
  <c r="M46" i="5"/>
  <c r="N46" i="5"/>
  <c r="M35" i="5"/>
  <c r="N35" i="5" s="1"/>
  <c r="M39" i="5"/>
  <c r="N39" i="5" s="1"/>
  <c r="M43" i="5"/>
  <c r="N43" i="5" s="1"/>
  <c r="M40" i="93"/>
  <c r="N40" i="93" s="1"/>
  <c r="M44" i="93"/>
  <c r="N44" i="93" s="1"/>
  <c r="M20" i="50"/>
  <c r="N20" i="50" s="1"/>
  <c r="M42" i="5"/>
  <c r="N42" i="5" s="1"/>
  <c r="M39" i="93"/>
  <c r="N39" i="93" s="1"/>
  <c r="M36" i="5"/>
  <c r="N36" i="5" s="1"/>
  <c r="M45" i="93"/>
  <c r="N45" i="93" s="1"/>
  <c r="M30" i="4"/>
  <c r="N30" i="4" s="1"/>
  <c r="M31" i="4"/>
  <c r="N31" i="4" s="1"/>
  <c r="M28" i="4"/>
  <c r="N28" i="4" s="1"/>
  <c r="M32" i="4"/>
  <c r="N32" i="4" s="1"/>
  <c r="M29" i="53"/>
  <c r="N29" i="53" s="1"/>
  <c r="M33" i="53"/>
  <c r="N33" i="53" s="1"/>
  <c r="M34" i="53"/>
  <c r="N34" i="53" s="1"/>
  <c r="M31" i="53"/>
  <c r="N31" i="53" s="1"/>
  <c r="M30" i="53"/>
  <c r="N30" i="53" s="1"/>
  <c r="M28" i="53"/>
  <c r="N28" i="53" s="1"/>
  <c r="M32" i="53"/>
  <c r="N32" i="53" s="1"/>
  <c r="M28" i="52"/>
  <c r="N28" i="52" s="1"/>
  <c r="M29" i="52"/>
  <c r="N29" i="52" s="1"/>
  <c r="M26" i="52"/>
  <c r="N26" i="52" s="1"/>
  <c r="M25" i="52"/>
  <c r="N25" i="52" s="1"/>
  <c r="M27" i="52"/>
  <c r="N27" i="52" s="1"/>
  <c r="M36" i="93"/>
  <c r="N36" i="93" s="1"/>
  <c r="M29" i="4"/>
  <c r="N29" i="4" s="1"/>
  <c r="G71" i="26" l="1"/>
  <c r="G48" i="26"/>
  <c r="G54" i="26" s="1"/>
  <c r="H8" i="66" s="1"/>
  <c r="G76" i="26"/>
  <c r="G24" i="26"/>
  <c r="G25" i="26" s="1"/>
  <c r="G28" i="26" s="1"/>
  <c r="H7" i="66" s="1"/>
  <c r="H23" i="66" l="1"/>
  <c r="G84" i="26"/>
  <c r="G9" i="26"/>
  <c r="H8" i="26" s="1"/>
  <c r="O91" i="15"/>
  <c r="L66" i="17" s="1"/>
  <c r="L56" i="30"/>
  <c r="N78" i="12"/>
  <c r="G15" i="4"/>
  <c r="G18" i="4" s="1"/>
  <c r="G29" i="6"/>
  <c r="G59" i="6"/>
  <c r="G56" i="6"/>
  <c r="G25" i="5"/>
  <c r="G22" i="5"/>
  <c r="G12" i="5"/>
  <c r="G59" i="12"/>
  <c r="G14" i="12"/>
  <c r="G15" i="24"/>
  <c r="F15" i="24"/>
  <c r="G40" i="24"/>
  <c r="G26" i="93"/>
  <c r="G20" i="93"/>
  <c r="G20" i="54"/>
  <c r="G18" i="53"/>
  <c r="G20" i="53" s="1"/>
  <c r="G15" i="52"/>
  <c r="G61" i="51"/>
  <c r="G56" i="51"/>
  <c r="G31" i="51"/>
  <c r="G11" i="50"/>
  <c r="G14" i="50" s="1"/>
  <c r="G12" i="135"/>
  <c r="G15" i="135" s="1"/>
  <c r="G13" i="49"/>
  <c r="G27" i="49"/>
  <c r="G15" i="11"/>
  <c r="G39" i="11"/>
  <c r="G12" i="10"/>
  <c r="G15" i="10" s="1"/>
  <c r="G11" i="9"/>
  <c r="G24" i="9"/>
  <c r="G37" i="8"/>
  <c r="G12" i="7"/>
  <c r="G17" i="7" s="1"/>
  <c r="G25" i="22"/>
  <c r="G13" i="22"/>
  <c r="G18" i="18"/>
  <c r="G50" i="17"/>
  <c r="G53" i="15"/>
  <c r="G51" i="15"/>
  <c r="G50" i="15"/>
  <c r="G49" i="15"/>
  <c r="G47" i="15"/>
  <c r="G46" i="15"/>
  <c r="G45" i="15"/>
  <c r="G44" i="15"/>
  <c r="G43" i="15"/>
  <c r="G42" i="15"/>
  <c r="G41" i="15"/>
  <c r="G40" i="15"/>
  <c r="G39" i="15"/>
  <c r="G38" i="15"/>
  <c r="G37" i="15"/>
  <c r="G36" i="15"/>
  <c r="G35" i="15"/>
  <c r="G34" i="15"/>
  <c r="G33" i="15"/>
  <c r="G32" i="15"/>
  <c r="G31" i="15"/>
  <c r="G29" i="15"/>
  <c r="G28" i="15"/>
  <c r="G27" i="15"/>
  <c r="G26" i="15"/>
  <c r="G25" i="15"/>
  <c r="G24" i="15"/>
  <c r="G23" i="15"/>
  <c r="G22" i="15"/>
  <c r="G21" i="15"/>
  <c r="G20" i="15"/>
  <c r="G19" i="15"/>
  <c r="G16" i="15"/>
  <c r="G15" i="15"/>
  <c r="G14" i="15"/>
  <c r="G13" i="15"/>
  <c r="G12" i="15"/>
  <c r="G11" i="15"/>
  <c r="G10" i="15"/>
  <c r="G9" i="15"/>
  <c r="G18" i="23"/>
  <c r="G13" i="23"/>
  <c r="G16" i="17"/>
  <c r="G22" i="56"/>
  <c r="G12" i="56"/>
  <c r="G14" i="13"/>
  <c r="G128" i="66" s="1"/>
  <c r="G11" i="13"/>
  <c r="G127" i="66" s="1"/>
  <c r="G17" i="86"/>
  <c r="G10" i="86"/>
  <c r="G10" i="48"/>
  <c r="G12" i="48" s="1"/>
  <c r="G16" i="47"/>
  <c r="G14" i="46"/>
  <c r="G10" i="46"/>
  <c r="G10" i="45"/>
  <c r="G12" i="45" s="1"/>
  <c r="G32" i="44"/>
  <c r="G24" i="60"/>
  <c r="G19" i="60"/>
  <c r="G28" i="43"/>
  <c r="G57" i="43"/>
  <c r="G54" i="43"/>
  <c r="G39" i="87"/>
  <c r="G41" i="87" s="1"/>
  <c r="G15" i="41"/>
  <c r="G18" i="41" s="1"/>
  <c r="G29" i="40"/>
  <c r="G13" i="40"/>
  <c r="G36" i="38"/>
  <c r="G21" i="77"/>
  <c r="G24" i="149"/>
  <c r="G11" i="149"/>
  <c r="G16" i="35"/>
  <c r="G31" i="35"/>
  <c r="G16" i="34"/>
  <c r="G40" i="34"/>
  <c r="G43" i="66" s="1"/>
  <c r="G37" i="34"/>
  <c r="G25" i="33"/>
  <c r="G11" i="33"/>
  <c r="G11" i="32"/>
  <c r="G14" i="32" s="1"/>
  <c r="G16" i="31"/>
  <c r="G19" i="31" s="1"/>
  <c r="G34" i="30"/>
  <c r="G19" i="30"/>
  <c r="G21" i="29"/>
  <c r="G10" i="29"/>
  <c r="D121" i="137" l="1"/>
  <c r="G50" i="66"/>
  <c r="G21" i="47"/>
  <c r="G63" i="66"/>
  <c r="G91" i="66"/>
  <c r="G39" i="66"/>
  <c r="G61" i="66"/>
  <c r="G65" i="66"/>
  <c r="G92" i="66"/>
  <c r="G40" i="66"/>
  <c r="G76" i="66"/>
  <c r="G84" i="66"/>
  <c r="G22" i="54"/>
  <c r="G104" i="66"/>
  <c r="M66" i="17"/>
  <c r="N66" i="17" s="1"/>
  <c r="G129" i="66"/>
  <c r="G100" i="66"/>
  <c r="M56" i="30"/>
  <c r="N56" i="30" s="1"/>
  <c r="G115" i="66"/>
  <c r="G52" i="66"/>
  <c r="G103" i="66"/>
  <c r="G58" i="66"/>
  <c r="G19" i="13"/>
  <c r="G23" i="29"/>
  <c r="G23" i="77"/>
  <c r="G47" i="66" s="1"/>
  <c r="G24" i="56"/>
  <c r="G30" i="93"/>
  <c r="G38" i="38"/>
  <c r="G55" i="17"/>
  <c r="G29" i="49"/>
  <c r="G13" i="26"/>
  <c r="G16" i="26" s="1"/>
  <c r="H6" i="66" s="1"/>
  <c r="H28" i="66" s="1"/>
  <c r="G64" i="12"/>
  <c r="G17" i="15"/>
  <c r="G61" i="6"/>
  <c r="G27" i="5"/>
  <c r="G113" i="66" s="1"/>
  <c r="G42" i="24"/>
  <c r="G64" i="51"/>
  <c r="G44" i="11"/>
  <c r="G26" i="9"/>
  <c r="G39" i="8"/>
  <c r="G27" i="22"/>
  <c r="G12" i="18"/>
  <c r="G20" i="18" s="1"/>
  <c r="G20" i="23"/>
  <c r="G19" i="86"/>
  <c r="G16" i="46"/>
  <c r="G34" i="44"/>
  <c r="G26" i="60"/>
  <c r="G59" i="43"/>
  <c r="G31" i="40"/>
  <c r="G26" i="149"/>
  <c r="G33" i="35"/>
  <c r="G42" i="34"/>
  <c r="G27" i="33"/>
  <c r="G36" i="30"/>
  <c r="I11" i="149"/>
  <c r="I19" i="47"/>
  <c r="I64" i="66" s="1"/>
  <c r="I16" i="47"/>
  <c r="I63" i="66" s="1"/>
  <c r="I10" i="86"/>
  <c r="E29" i="2"/>
  <c r="G106" i="66" l="1"/>
  <c r="G66" i="66"/>
  <c r="G83" i="66"/>
  <c r="M47" i="93"/>
  <c r="N47" i="93" s="1"/>
  <c r="M46" i="93"/>
  <c r="N46" i="93" s="1"/>
  <c r="G90" i="66"/>
  <c r="G42" i="66"/>
  <c r="G62" i="66"/>
  <c r="G48" i="66"/>
  <c r="G74" i="66"/>
  <c r="G73" i="66"/>
  <c r="I12" i="18"/>
  <c r="G37" i="66"/>
  <c r="G78" i="26"/>
  <c r="G90" i="26" s="1"/>
  <c r="G89" i="66"/>
  <c r="G60" i="66"/>
  <c r="G46" i="66"/>
  <c r="G38" i="66"/>
  <c r="G114" i="66"/>
  <c r="G41" i="66"/>
  <c r="G120" i="66"/>
  <c r="G97" i="66"/>
  <c r="G49" i="66"/>
  <c r="H9" i="26"/>
  <c r="I8" i="26" s="1"/>
  <c r="I13" i="26" s="1"/>
  <c r="G111" i="66"/>
  <c r="G82" i="66"/>
  <c r="G44" i="66"/>
  <c r="G57" i="66"/>
  <c r="G59" i="66"/>
  <c r="I21" i="47"/>
  <c r="I39" i="87"/>
  <c r="J8" i="26" l="1"/>
  <c r="I16" i="26"/>
  <c r="G94" i="66"/>
  <c r="J9" i="26"/>
  <c r="J13" i="26" s="1"/>
  <c r="G117" i="66"/>
  <c r="G54" i="66"/>
  <c r="G68" i="66"/>
  <c r="K8" i="26" l="1"/>
  <c r="I78" i="26"/>
  <c r="I90" i="26" s="1"/>
  <c r="J6" i="66"/>
  <c r="J28" i="66" s="1"/>
  <c r="J252" i="66" s="1"/>
  <c r="J255" i="66" s="1"/>
  <c r="T201" i="66"/>
  <c r="K9" i="26" l="1"/>
  <c r="L9" i="26" s="1"/>
  <c r="K13" i="26"/>
  <c r="K16" i="26" s="1"/>
  <c r="O18" i="53"/>
  <c r="O27" i="49"/>
  <c r="O39" i="11"/>
  <c r="O24" i="9"/>
  <c r="O37" i="8"/>
  <c r="O25" i="22"/>
  <c r="P25" i="22" s="1"/>
  <c r="O22" i="56"/>
  <c r="O17" i="86"/>
  <c r="O16" i="47"/>
  <c r="P16" i="47" s="1"/>
  <c r="N63" i="66" s="1"/>
  <c r="O32" i="44"/>
  <c r="P32" i="44" s="1"/>
  <c r="O24" i="60"/>
  <c r="O39" i="87"/>
  <c r="O15" i="41"/>
  <c r="O29" i="40"/>
  <c r="O36" i="38"/>
  <c r="O21" i="77"/>
  <c r="O24" i="149"/>
  <c r="O31" i="35"/>
  <c r="O37" i="34"/>
  <c r="O25" i="33"/>
  <c r="O16" i="31"/>
  <c r="O34" i="30"/>
  <c r="M100" i="66" l="1"/>
  <c r="K78" i="26"/>
  <c r="K90" i="26" s="1"/>
  <c r="L6" i="66"/>
  <c r="M36" i="47"/>
  <c r="N36" i="47" s="1"/>
  <c r="M63" i="66"/>
  <c r="P15" i="52"/>
  <c r="N100" i="66" l="1"/>
  <c r="Q11" i="66"/>
  <c r="H28" i="26" l="1"/>
  <c r="I7" i="66" l="1"/>
  <c r="J22" i="144"/>
  <c r="G22" i="144"/>
  <c r="E11" i="12" l="1"/>
  <c r="F11" i="12"/>
  <c r="F9" i="12"/>
  <c r="E9" i="12"/>
  <c r="C8" i="107" l="1"/>
  <c r="D8" i="107" l="1"/>
  <c r="C26" i="107"/>
  <c r="D26" i="107" s="1"/>
  <c r="O12" i="49"/>
  <c r="L49" i="49" s="1"/>
  <c r="L64" i="8"/>
  <c r="M64" i="8" l="1"/>
  <c r="N64" i="8" s="1"/>
  <c r="M49" i="49"/>
  <c r="N49" i="49" s="1"/>
  <c r="N11" i="9"/>
  <c r="O12" i="7"/>
  <c r="O19" i="47"/>
  <c r="O21" i="47" l="1"/>
  <c r="M64" i="66"/>
  <c r="N88" i="15"/>
  <c r="D86" i="137" s="1"/>
  <c r="P21" i="47" l="1"/>
  <c r="N77" i="12"/>
  <c r="N76" i="12"/>
  <c r="D120" i="137" l="1"/>
  <c r="D119" i="137"/>
  <c r="G29" i="2"/>
  <c r="I8" i="2"/>
  <c r="N86" i="15"/>
  <c r="D84" i="137" s="1"/>
  <c r="B34" i="133"/>
  <c r="C34" i="133" s="1"/>
  <c r="P129" i="66"/>
  <c r="P133" i="66" s="1"/>
  <c r="H76" i="26"/>
  <c r="L39" i="9"/>
  <c r="N85" i="15"/>
  <c r="D83" i="137" s="1"/>
  <c r="N81" i="15"/>
  <c r="D79" i="137" s="1"/>
  <c r="N80" i="15"/>
  <c r="O10" i="22" s="1"/>
  <c r="N79" i="15"/>
  <c r="D75" i="137" s="1"/>
  <c r="N77" i="15"/>
  <c r="N76" i="15"/>
  <c r="D74" i="137" s="1"/>
  <c r="N75" i="15"/>
  <c r="D73" i="137" s="1"/>
  <c r="N73" i="15"/>
  <c r="D71" i="137" s="1"/>
  <c r="N78" i="15"/>
  <c r="D77" i="137" s="1"/>
  <c r="N74" i="15"/>
  <c r="F15" i="4"/>
  <c r="F18" i="4" s="1"/>
  <c r="F115" i="66" s="1"/>
  <c r="F59" i="6"/>
  <c r="F56" i="6"/>
  <c r="F29" i="6"/>
  <c r="F25" i="5"/>
  <c r="F22" i="5"/>
  <c r="F12" i="5"/>
  <c r="F59" i="12"/>
  <c r="F14" i="12"/>
  <c r="F40" i="24"/>
  <c r="F42" i="24" s="1"/>
  <c r="F120" i="66" s="1"/>
  <c r="F26" i="93"/>
  <c r="F20" i="93"/>
  <c r="F20" i="54"/>
  <c r="F104" i="66" s="1"/>
  <c r="F18" i="53"/>
  <c r="F20" i="53" s="1"/>
  <c r="F103" i="66" s="1"/>
  <c r="F15" i="52"/>
  <c r="F100" i="66" s="1"/>
  <c r="F61" i="51"/>
  <c r="F56" i="51"/>
  <c r="F31" i="51"/>
  <c r="F11" i="50"/>
  <c r="F14" i="50" s="1"/>
  <c r="F92" i="66" s="1"/>
  <c r="F12" i="135"/>
  <c r="F15" i="135" s="1"/>
  <c r="F91" i="66" s="1"/>
  <c r="F27" i="49"/>
  <c r="F13" i="49"/>
  <c r="F39" i="11"/>
  <c r="F15" i="11"/>
  <c r="F12" i="10"/>
  <c r="F15" i="10" s="1"/>
  <c r="F84" i="66" s="1"/>
  <c r="F24" i="9"/>
  <c r="F11" i="9"/>
  <c r="F22" i="8"/>
  <c r="F37" i="8"/>
  <c r="F12" i="7"/>
  <c r="F17" i="7" s="1"/>
  <c r="F76" i="66" s="1"/>
  <c r="F27" i="22"/>
  <c r="F74" i="66" s="1"/>
  <c r="F18" i="18"/>
  <c r="F12" i="18"/>
  <c r="F53" i="15"/>
  <c r="F52" i="15"/>
  <c r="F51" i="15"/>
  <c r="F50" i="15"/>
  <c r="F49" i="15"/>
  <c r="F47" i="15"/>
  <c r="F46" i="15"/>
  <c r="F45" i="15"/>
  <c r="F44" i="15"/>
  <c r="F43" i="15"/>
  <c r="F42" i="15"/>
  <c r="F41" i="15"/>
  <c r="F40" i="15"/>
  <c r="F39" i="15"/>
  <c r="F38" i="15"/>
  <c r="F37" i="15"/>
  <c r="F36" i="15"/>
  <c r="F35" i="15"/>
  <c r="F34" i="15"/>
  <c r="F33" i="15"/>
  <c r="F32" i="15"/>
  <c r="F31" i="15"/>
  <c r="F29" i="15"/>
  <c r="F28" i="15"/>
  <c r="F27" i="15"/>
  <c r="F26" i="15"/>
  <c r="F25" i="15"/>
  <c r="F24" i="15"/>
  <c r="F23" i="15"/>
  <c r="F22" i="15"/>
  <c r="F21" i="15"/>
  <c r="F20" i="15"/>
  <c r="F19" i="15"/>
  <c r="F16" i="15"/>
  <c r="F15" i="15"/>
  <c r="F14" i="15"/>
  <c r="F13" i="15"/>
  <c r="F12" i="15"/>
  <c r="F11" i="15"/>
  <c r="F10" i="15"/>
  <c r="F9" i="15"/>
  <c r="F50" i="17"/>
  <c r="F16" i="17"/>
  <c r="F18" i="23"/>
  <c r="F13" i="23"/>
  <c r="F22" i="56"/>
  <c r="F12" i="56"/>
  <c r="F14" i="13"/>
  <c r="F128" i="66" s="1"/>
  <c r="F11" i="13"/>
  <c r="F17" i="86"/>
  <c r="F10" i="86"/>
  <c r="F10" i="48"/>
  <c r="F12" i="48" s="1"/>
  <c r="F65" i="66" s="1"/>
  <c r="F16" i="47"/>
  <c r="F14" i="46"/>
  <c r="F10" i="46"/>
  <c r="F32" i="44"/>
  <c r="F24" i="60"/>
  <c r="F19" i="60"/>
  <c r="F57" i="43"/>
  <c r="F58" i="66" s="1"/>
  <c r="F54" i="43"/>
  <c r="F26" i="43"/>
  <c r="F28" i="43" s="1"/>
  <c r="F39" i="87"/>
  <c r="F41" i="87" s="1"/>
  <c r="F52" i="66" s="1"/>
  <c r="F15" i="41"/>
  <c r="F18" i="41" s="1"/>
  <c r="F50" i="66" s="1"/>
  <c r="F29" i="40"/>
  <c r="F13" i="40"/>
  <c r="F36" i="38"/>
  <c r="F18" i="38"/>
  <c r="F21" i="77"/>
  <c r="F24" i="149"/>
  <c r="F11" i="149"/>
  <c r="F12" i="36"/>
  <c r="F15" i="36" s="1"/>
  <c r="F45" i="66" s="1"/>
  <c r="F16" i="35"/>
  <c r="F31" i="35"/>
  <c r="F40" i="34"/>
  <c r="F43" i="66" s="1"/>
  <c r="C23" i="34"/>
  <c r="C37" i="34" s="1"/>
  <c r="F23" i="34"/>
  <c r="F37" i="34" s="1"/>
  <c r="F11" i="34"/>
  <c r="F16" i="34" s="1"/>
  <c r="F25" i="33"/>
  <c r="F11" i="33"/>
  <c r="F11" i="32"/>
  <c r="F14" i="32" s="1"/>
  <c r="F40" i="66" s="1"/>
  <c r="F16" i="31"/>
  <c r="F19" i="31" s="1"/>
  <c r="F39" i="66" s="1"/>
  <c r="F34" i="30"/>
  <c r="F19" i="30"/>
  <c r="F21" i="29"/>
  <c r="F10" i="29"/>
  <c r="I11" i="9"/>
  <c r="E21" i="34"/>
  <c r="D21" i="34"/>
  <c r="D37" i="34" s="1"/>
  <c r="C21" i="34"/>
  <c r="I25" i="5"/>
  <c r="F10" i="45"/>
  <c r="F12" i="45" s="1"/>
  <c r="F61" i="66" s="1"/>
  <c r="E10" i="45"/>
  <c r="E12" i="45" s="1"/>
  <c r="I10" i="29"/>
  <c r="I23" i="29" s="1"/>
  <c r="P15" i="4"/>
  <c r="P26" i="93"/>
  <c r="P20" i="93"/>
  <c r="P18" i="53"/>
  <c r="O20" i="53"/>
  <c r="M103" i="66" s="1"/>
  <c r="P12" i="135"/>
  <c r="P27" i="49"/>
  <c r="P42" i="11"/>
  <c r="P39" i="11"/>
  <c r="P12" i="10"/>
  <c r="P24" i="9"/>
  <c r="P15" i="7"/>
  <c r="P12" i="7"/>
  <c r="L37" i="22"/>
  <c r="P18" i="18"/>
  <c r="L27" i="18"/>
  <c r="P50" i="17"/>
  <c r="P18" i="23"/>
  <c r="P22" i="56"/>
  <c r="P17" i="86"/>
  <c r="P10" i="86"/>
  <c r="P10" i="48"/>
  <c r="P14" i="46"/>
  <c r="P10" i="46"/>
  <c r="P10" i="45"/>
  <c r="P24" i="60"/>
  <c r="P29" i="40"/>
  <c r="P36" i="38"/>
  <c r="P24" i="149"/>
  <c r="P31" i="35"/>
  <c r="P40" i="34"/>
  <c r="N43" i="66" s="1"/>
  <c r="P37" i="34"/>
  <c r="P25" i="33"/>
  <c r="P11" i="32"/>
  <c r="P16" i="31"/>
  <c r="P34" i="30"/>
  <c r="P21" i="29"/>
  <c r="P15" i="41"/>
  <c r="C35" i="143"/>
  <c r="F24" i="26"/>
  <c r="F25" i="26" s="1"/>
  <c r="F28" i="26" s="1"/>
  <c r="G7" i="66" s="1"/>
  <c r="F82" i="26"/>
  <c r="G23" i="66" s="1"/>
  <c r="E15" i="86"/>
  <c r="E12" i="86" s="1"/>
  <c r="E17" i="86" s="1"/>
  <c r="D12" i="86"/>
  <c r="D17" i="86" s="1"/>
  <c r="C15" i="86"/>
  <c r="C12" i="86" s="1"/>
  <c r="C17" i="86" s="1"/>
  <c r="F83" i="26"/>
  <c r="G24" i="66" s="1"/>
  <c r="N14" i="46"/>
  <c r="U204" i="66"/>
  <c r="O25" i="5"/>
  <c r="D19" i="77"/>
  <c r="D18" i="77"/>
  <c r="D16" i="144"/>
  <c r="D22" i="144" s="1"/>
  <c r="I22" i="56"/>
  <c r="I21" i="77"/>
  <c r="N21" i="77"/>
  <c r="N23" i="77" s="1"/>
  <c r="C21" i="77"/>
  <c r="C23" i="77" s="1"/>
  <c r="C47" i="66" s="1"/>
  <c r="N24" i="149"/>
  <c r="I24" i="149"/>
  <c r="E24" i="149"/>
  <c r="D24" i="149"/>
  <c r="C24" i="149"/>
  <c r="N11" i="149"/>
  <c r="E11" i="149"/>
  <c r="E26" i="149" s="1"/>
  <c r="D11" i="149"/>
  <c r="C11" i="149"/>
  <c r="Q127" i="66"/>
  <c r="Q129" i="66" s="1"/>
  <c r="Q133" i="66" s="1"/>
  <c r="I72" i="137"/>
  <c r="I12" i="10"/>
  <c r="O10" i="86"/>
  <c r="O19" i="86" s="1"/>
  <c r="O10" i="46"/>
  <c r="O10" i="29"/>
  <c r="T32" i="6"/>
  <c r="O32" i="6" s="1"/>
  <c r="S32" i="6"/>
  <c r="R32" i="6"/>
  <c r="X35" i="51"/>
  <c r="W35" i="51"/>
  <c r="V35" i="51"/>
  <c r="U35" i="51"/>
  <c r="T35" i="51"/>
  <c r="O35" i="51" s="1"/>
  <c r="S35" i="51"/>
  <c r="R35" i="51"/>
  <c r="X11" i="51"/>
  <c r="W11" i="51"/>
  <c r="V11" i="51"/>
  <c r="U11" i="51"/>
  <c r="T11" i="51"/>
  <c r="O11" i="51" s="1"/>
  <c r="S11" i="51"/>
  <c r="R11" i="51"/>
  <c r="R36" i="6"/>
  <c r="G15" i="2"/>
  <c r="AU59" i="6"/>
  <c r="AT59" i="6"/>
  <c r="AS59" i="6"/>
  <c r="AR59" i="6"/>
  <c r="AQ59" i="6"/>
  <c r="AP59" i="6"/>
  <c r="AO59" i="6"/>
  <c r="AN59" i="6"/>
  <c r="AM59" i="6"/>
  <c r="AL59" i="6"/>
  <c r="AK59" i="6"/>
  <c r="AJ59" i="6"/>
  <c r="AI59" i="6"/>
  <c r="AH59" i="6"/>
  <c r="AG59" i="6"/>
  <c r="AF59" i="6"/>
  <c r="AE59" i="6"/>
  <c r="AD59" i="6"/>
  <c r="AC59" i="6"/>
  <c r="AB59" i="6"/>
  <c r="AA59" i="6"/>
  <c r="Z59" i="6"/>
  <c r="Y59" i="6"/>
  <c r="X59" i="6"/>
  <c r="W59" i="6"/>
  <c r="V59" i="6"/>
  <c r="U59" i="6"/>
  <c r="T59" i="6"/>
  <c r="S59" i="6"/>
  <c r="R59" i="6"/>
  <c r="AU61" i="51"/>
  <c r="AT61" i="51"/>
  <c r="AS61" i="51"/>
  <c r="AR61" i="51"/>
  <c r="AQ61" i="51"/>
  <c r="AP61" i="51"/>
  <c r="AO61" i="51"/>
  <c r="AN61" i="51"/>
  <c r="AM61" i="51"/>
  <c r="AL61" i="51"/>
  <c r="AK61" i="51"/>
  <c r="AJ61" i="51"/>
  <c r="AI61" i="51"/>
  <c r="AH61" i="51"/>
  <c r="AG61" i="51"/>
  <c r="AF61" i="51"/>
  <c r="AE61" i="51"/>
  <c r="AD61" i="51"/>
  <c r="AC61" i="51"/>
  <c r="AB61" i="51"/>
  <c r="AA61" i="51"/>
  <c r="Z61" i="51"/>
  <c r="Y61" i="51"/>
  <c r="X61" i="51"/>
  <c r="W61" i="51"/>
  <c r="V61" i="51"/>
  <c r="U61" i="51"/>
  <c r="T61" i="51"/>
  <c r="S61" i="51"/>
  <c r="R61" i="51"/>
  <c r="AJ74" i="148"/>
  <c r="AI74" i="148"/>
  <c r="AJ64" i="148"/>
  <c r="AI64" i="148"/>
  <c r="AJ22" i="148"/>
  <c r="AJ47" i="148" s="1"/>
  <c r="AI22" i="148"/>
  <c r="AJ21" i="148"/>
  <c r="AI21" i="148"/>
  <c r="AJ20" i="148"/>
  <c r="AI20" i="148"/>
  <c r="AJ19" i="148"/>
  <c r="AI19" i="148"/>
  <c r="AJ18" i="148"/>
  <c r="AI18" i="148"/>
  <c r="AJ17" i="148"/>
  <c r="AI17" i="148"/>
  <c r="AJ13" i="148"/>
  <c r="AI13" i="148"/>
  <c r="AJ12" i="148"/>
  <c r="AI12" i="148"/>
  <c r="AJ11" i="148"/>
  <c r="AI11" i="148"/>
  <c r="AJ10" i="148"/>
  <c r="AI10" i="148"/>
  <c r="AH74" i="148"/>
  <c r="AG74" i="148"/>
  <c r="AF74" i="148"/>
  <c r="AE74" i="148"/>
  <c r="AD74" i="148"/>
  <c r="AD76" i="148" s="1"/>
  <c r="AH64" i="148"/>
  <c r="AG64" i="148"/>
  <c r="AF64" i="148"/>
  <c r="AE64" i="148"/>
  <c r="AD64" i="148"/>
  <c r="AH22" i="148"/>
  <c r="AG22" i="148"/>
  <c r="AF22" i="148"/>
  <c r="AE22" i="148"/>
  <c r="AD22" i="148"/>
  <c r="AH21" i="148"/>
  <c r="AG21" i="148"/>
  <c r="AF21" i="148"/>
  <c r="AE21" i="148"/>
  <c r="AD21" i="148"/>
  <c r="AD46" i="148" s="1"/>
  <c r="AO41" i="6" s="1"/>
  <c r="AH20" i="148"/>
  <c r="AH45" i="148" s="1"/>
  <c r="AS40" i="6" s="1"/>
  <c r="AG20" i="148"/>
  <c r="AF20" i="148"/>
  <c r="AE20" i="148"/>
  <c r="AD20" i="148"/>
  <c r="AH19" i="148"/>
  <c r="AG19" i="148"/>
  <c r="AF19" i="148"/>
  <c r="AE19" i="148"/>
  <c r="AD19" i="148"/>
  <c r="AH18" i="148"/>
  <c r="AG18" i="148"/>
  <c r="AF18" i="148"/>
  <c r="AE18" i="148"/>
  <c r="AD18" i="148"/>
  <c r="AH17" i="148"/>
  <c r="AG17" i="148"/>
  <c r="AF17" i="148"/>
  <c r="AE17" i="148"/>
  <c r="AD17" i="148"/>
  <c r="AH13" i="148"/>
  <c r="AG13" i="148"/>
  <c r="AF13" i="148"/>
  <c r="AE13" i="148"/>
  <c r="AD13" i="148"/>
  <c r="AH12" i="148"/>
  <c r="AG12" i="148"/>
  <c r="AF12" i="148"/>
  <c r="AE12" i="148"/>
  <c r="AD12" i="148"/>
  <c r="AH11" i="148"/>
  <c r="AG11" i="148"/>
  <c r="AF11" i="148"/>
  <c r="AE11" i="148"/>
  <c r="AD11" i="148"/>
  <c r="AH10" i="148"/>
  <c r="AG10" i="148"/>
  <c r="AR13" i="51" s="1"/>
  <c r="AF10" i="148"/>
  <c r="AE10" i="148"/>
  <c r="AP13" i="51"/>
  <c r="AD10" i="148"/>
  <c r="AO13" i="51" s="1"/>
  <c r="AC74" i="148"/>
  <c r="AB74" i="148"/>
  <c r="AA74" i="148"/>
  <c r="Z74" i="148"/>
  <c r="Y74" i="148"/>
  <c r="X74" i="148"/>
  <c r="W74" i="148"/>
  <c r="V74" i="148"/>
  <c r="AC64" i="148"/>
  <c r="AB64" i="148"/>
  <c r="AA64" i="148"/>
  <c r="Z64" i="148"/>
  <c r="Y64" i="148"/>
  <c r="X64" i="148"/>
  <c r="W64" i="148"/>
  <c r="V64" i="148"/>
  <c r="AC22" i="148"/>
  <c r="AB22" i="148"/>
  <c r="AA22" i="148"/>
  <c r="Z22" i="148"/>
  <c r="Y22" i="148"/>
  <c r="X22" i="148"/>
  <c r="W22" i="148"/>
  <c r="W47" i="148" s="1"/>
  <c r="AH42" i="6" s="1"/>
  <c r="V22" i="148"/>
  <c r="AC21" i="148"/>
  <c r="AB21" i="148"/>
  <c r="AA21" i="148"/>
  <c r="Z21" i="148"/>
  <c r="Y21" i="148"/>
  <c r="X21" i="148"/>
  <c r="W21" i="148"/>
  <c r="AH41" i="51" s="1"/>
  <c r="V21" i="148"/>
  <c r="V46" i="148" s="1"/>
  <c r="AG41" i="6" s="1"/>
  <c r="AC20" i="148"/>
  <c r="AB20" i="148"/>
  <c r="AA20" i="148"/>
  <c r="Z20" i="148"/>
  <c r="Y20" i="148"/>
  <c r="X20" i="148"/>
  <c r="W20" i="148"/>
  <c r="W45" i="148" s="1"/>
  <c r="AH40" i="6" s="1"/>
  <c r="V20" i="148"/>
  <c r="V45" i="148" s="1"/>
  <c r="AG40" i="6" s="1"/>
  <c r="AC19" i="148"/>
  <c r="AB19" i="148"/>
  <c r="AA19" i="148"/>
  <c r="Z19" i="148"/>
  <c r="Y19" i="148"/>
  <c r="X19" i="148"/>
  <c r="W19" i="148"/>
  <c r="AH39" i="51" s="1"/>
  <c r="V19" i="148"/>
  <c r="AC18" i="148"/>
  <c r="AB18" i="148"/>
  <c r="AA18" i="148"/>
  <c r="Z18" i="148"/>
  <c r="Y18" i="148"/>
  <c r="X18" i="148"/>
  <c r="W18" i="148"/>
  <c r="AH38" i="51" s="1"/>
  <c r="V18" i="148"/>
  <c r="AC17" i="148"/>
  <c r="AB17" i="148"/>
  <c r="AA17" i="148"/>
  <c r="Z17" i="148"/>
  <c r="Y17" i="148"/>
  <c r="X17" i="148"/>
  <c r="W17" i="148"/>
  <c r="V17" i="148"/>
  <c r="V24" i="148" s="1"/>
  <c r="AC13" i="148"/>
  <c r="AB13" i="148"/>
  <c r="AA13" i="148"/>
  <c r="Z13" i="148"/>
  <c r="Y13" i="148"/>
  <c r="X13" i="148"/>
  <c r="W13" i="148"/>
  <c r="W38" i="148" s="1"/>
  <c r="AH16" i="6" s="1"/>
  <c r="V13" i="148"/>
  <c r="V38" i="148" s="1"/>
  <c r="AG16" i="6" s="1"/>
  <c r="AC12" i="148"/>
  <c r="AB12" i="148"/>
  <c r="AA12" i="148"/>
  <c r="Z12" i="148"/>
  <c r="Y12" i="148"/>
  <c r="X12" i="148"/>
  <c r="X37" i="148" s="1"/>
  <c r="W12" i="148"/>
  <c r="V12" i="148"/>
  <c r="AC11" i="148"/>
  <c r="AB11" i="148"/>
  <c r="AA11" i="148"/>
  <c r="Z11" i="148"/>
  <c r="Y11" i="148"/>
  <c r="X11" i="148"/>
  <c r="W11" i="148"/>
  <c r="V11" i="148"/>
  <c r="AG14" i="51" s="1"/>
  <c r="AC10" i="148"/>
  <c r="AB10" i="148"/>
  <c r="AA10" i="148"/>
  <c r="Z10" i="148"/>
  <c r="Y10" i="148"/>
  <c r="X10" i="148"/>
  <c r="W10" i="148"/>
  <c r="V10" i="148"/>
  <c r="U74" i="148"/>
  <c r="T74" i="148"/>
  <c r="S74" i="148"/>
  <c r="R74" i="148"/>
  <c r="Q74" i="148"/>
  <c r="P74" i="148"/>
  <c r="O74" i="148"/>
  <c r="O76" i="148" s="1"/>
  <c r="N74" i="148"/>
  <c r="N76" i="148" s="1"/>
  <c r="M74" i="148"/>
  <c r="L74" i="148"/>
  <c r="K74" i="148"/>
  <c r="J74" i="148"/>
  <c r="I74" i="148"/>
  <c r="H74" i="148"/>
  <c r="G74" i="148"/>
  <c r="F74" i="148"/>
  <c r="E74" i="148"/>
  <c r="D74" i="148"/>
  <c r="U64" i="148"/>
  <c r="T64" i="148"/>
  <c r="S64" i="148"/>
  <c r="R64" i="148"/>
  <c r="Q64" i="148"/>
  <c r="Q76" i="148" s="1"/>
  <c r="P64" i="148"/>
  <c r="P76" i="148" s="1"/>
  <c r="O64" i="148"/>
  <c r="N64" i="148"/>
  <c r="M64" i="148"/>
  <c r="L64" i="148"/>
  <c r="K64" i="148"/>
  <c r="J64" i="148"/>
  <c r="I64" i="148"/>
  <c r="H64" i="148"/>
  <c r="G64" i="148"/>
  <c r="F64" i="148"/>
  <c r="E64" i="148"/>
  <c r="D64" i="148"/>
  <c r="U22" i="148"/>
  <c r="T22" i="148"/>
  <c r="AE42" i="51" s="1"/>
  <c r="S22" i="148"/>
  <c r="R22" i="148"/>
  <c r="AC42" i="51" s="1"/>
  <c r="Q22" i="148"/>
  <c r="P22" i="148"/>
  <c r="O22" i="148"/>
  <c r="N22" i="148"/>
  <c r="M22" i="148"/>
  <c r="L22" i="148"/>
  <c r="W42" i="51" s="1"/>
  <c r="K22" i="148"/>
  <c r="V42" i="51" s="1"/>
  <c r="J22" i="148"/>
  <c r="J47" i="148" s="1"/>
  <c r="I22" i="148"/>
  <c r="H22" i="148"/>
  <c r="G22" i="148"/>
  <c r="F22" i="148"/>
  <c r="E22" i="148"/>
  <c r="D22" i="148"/>
  <c r="D47" i="148" s="1"/>
  <c r="U21" i="148"/>
  <c r="AF41" i="51" s="1"/>
  <c r="T21" i="148"/>
  <c r="AE41" i="51" s="1"/>
  <c r="S21" i="148"/>
  <c r="R21" i="148"/>
  <c r="Q21" i="148"/>
  <c r="P21" i="148"/>
  <c r="O21" i="148"/>
  <c r="N21" i="148"/>
  <c r="M21" i="148"/>
  <c r="L21" i="148"/>
  <c r="L46" i="148" s="1"/>
  <c r="W41" i="6" s="1"/>
  <c r="K21" i="148"/>
  <c r="J21" i="148"/>
  <c r="I21" i="148"/>
  <c r="H21" i="148"/>
  <c r="G21" i="148"/>
  <c r="F21" i="148"/>
  <c r="E21" i="148"/>
  <c r="D21" i="148"/>
  <c r="D46" i="148" s="1"/>
  <c r="U20" i="148"/>
  <c r="T20" i="148"/>
  <c r="S20" i="148"/>
  <c r="R20" i="148"/>
  <c r="Q20" i="148"/>
  <c r="P20" i="148"/>
  <c r="O20" i="148"/>
  <c r="N20" i="148"/>
  <c r="M20" i="148"/>
  <c r="L20" i="148"/>
  <c r="K20" i="148"/>
  <c r="J20" i="148"/>
  <c r="I20" i="148"/>
  <c r="H20" i="148"/>
  <c r="G20" i="148"/>
  <c r="F20" i="148"/>
  <c r="F24" i="148" s="1"/>
  <c r="E20" i="148"/>
  <c r="D20" i="148"/>
  <c r="U19" i="148"/>
  <c r="T19" i="148"/>
  <c r="S19" i="148"/>
  <c r="R19" i="148"/>
  <c r="AC39" i="51" s="1"/>
  <c r="Q19" i="148"/>
  <c r="AB39" i="51" s="1"/>
  <c r="P19" i="148"/>
  <c r="P44" i="148" s="1"/>
  <c r="AA39" i="6" s="1"/>
  <c r="O19" i="148"/>
  <c r="N19" i="148"/>
  <c r="M19" i="148"/>
  <c r="L19" i="148"/>
  <c r="K19" i="148"/>
  <c r="J19" i="148"/>
  <c r="J44" i="148" s="1"/>
  <c r="I19" i="148"/>
  <c r="H19" i="148"/>
  <c r="G19" i="148"/>
  <c r="F19" i="148"/>
  <c r="E19" i="148"/>
  <c r="D19" i="148"/>
  <c r="U18" i="148"/>
  <c r="T18" i="148"/>
  <c r="S18" i="148"/>
  <c r="R18" i="148"/>
  <c r="R43" i="148" s="1"/>
  <c r="Q18" i="148"/>
  <c r="P18" i="148"/>
  <c r="O18" i="148"/>
  <c r="N18" i="148"/>
  <c r="M18" i="148"/>
  <c r="L18" i="148"/>
  <c r="L43" i="148" s="1"/>
  <c r="W38" i="6" s="1"/>
  <c r="K18" i="148"/>
  <c r="J18" i="148"/>
  <c r="I18" i="148"/>
  <c r="H18" i="148"/>
  <c r="G18" i="148"/>
  <c r="F18" i="148"/>
  <c r="E18" i="148"/>
  <c r="D18" i="148"/>
  <c r="U17" i="148"/>
  <c r="AF37" i="51" s="1"/>
  <c r="T17" i="148"/>
  <c r="T42" i="148" s="1"/>
  <c r="S17" i="148"/>
  <c r="R17" i="148"/>
  <c r="Q17" i="148"/>
  <c r="P17" i="148"/>
  <c r="O17" i="148"/>
  <c r="N17" i="148"/>
  <c r="M17" i="148"/>
  <c r="L17" i="148"/>
  <c r="L42" i="148" s="1"/>
  <c r="W37" i="6" s="1"/>
  <c r="K17" i="148"/>
  <c r="J17" i="148"/>
  <c r="I17" i="148"/>
  <c r="H17" i="148"/>
  <c r="G17" i="148"/>
  <c r="F17" i="148"/>
  <c r="E17" i="148"/>
  <c r="D17" i="148"/>
  <c r="U13" i="148"/>
  <c r="T13" i="148"/>
  <c r="S13" i="148"/>
  <c r="R13" i="148"/>
  <c r="Q13" i="148"/>
  <c r="P13" i="148"/>
  <c r="P38" i="148" s="1"/>
  <c r="AA16" i="6" s="1"/>
  <c r="O13" i="148"/>
  <c r="N13" i="148"/>
  <c r="Y16" i="51" s="1"/>
  <c r="M13" i="148"/>
  <c r="L13" i="148"/>
  <c r="K13" i="148"/>
  <c r="J13" i="148"/>
  <c r="I13" i="148"/>
  <c r="H13" i="148"/>
  <c r="H38" i="148" s="1"/>
  <c r="S16" i="6" s="1"/>
  <c r="G13" i="148"/>
  <c r="R16" i="51" s="1"/>
  <c r="F13" i="148"/>
  <c r="F14" i="148" s="1"/>
  <c r="E13" i="148"/>
  <c r="D13" i="148"/>
  <c r="U12" i="148"/>
  <c r="T12" i="148"/>
  <c r="S12" i="148"/>
  <c r="R12" i="148"/>
  <c r="AC15" i="51" s="1"/>
  <c r="Q12" i="148"/>
  <c r="P12" i="148"/>
  <c r="P14" i="148" s="1"/>
  <c r="O12" i="148"/>
  <c r="N12" i="148"/>
  <c r="M12" i="148"/>
  <c r="L12" i="148"/>
  <c r="K12" i="148"/>
  <c r="J12" i="148"/>
  <c r="J37" i="148" s="1"/>
  <c r="U15" i="6" s="1"/>
  <c r="I12" i="148"/>
  <c r="H12" i="148"/>
  <c r="G12" i="148"/>
  <c r="F12" i="148"/>
  <c r="E12" i="148"/>
  <c r="D12" i="148"/>
  <c r="U11" i="148"/>
  <c r="T11" i="148"/>
  <c r="S11" i="148"/>
  <c r="AD14" i="51" s="1"/>
  <c r="R11" i="148"/>
  <c r="R36" i="148" s="1"/>
  <c r="Q11" i="148"/>
  <c r="P11" i="148"/>
  <c r="O11" i="148"/>
  <c r="N11" i="148"/>
  <c r="M11" i="148"/>
  <c r="L11" i="148"/>
  <c r="L36" i="148" s="1"/>
  <c r="W14" i="6" s="1"/>
  <c r="K11" i="148"/>
  <c r="J11" i="148"/>
  <c r="I11" i="148"/>
  <c r="H11" i="148"/>
  <c r="G11" i="148"/>
  <c r="F11" i="148"/>
  <c r="E11" i="148"/>
  <c r="D11" i="148"/>
  <c r="U10" i="148"/>
  <c r="U14" i="148" s="1"/>
  <c r="T10" i="148"/>
  <c r="AE13" i="51" s="1"/>
  <c r="S10" i="148"/>
  <c r="R10" i="148"/>
  <c r="Q10" i="148"/>
  <c r="P10" i="148"/>
  <c r="O10" i="148"/>
  <c r="N10" i="148"/>
  <c r="M10" i="148"/>
  <c r="M14" i="148" s="1"/>
  <c r="L10" i="148"/>
  <c r="K10" i="148"/>
  <c r="J10" i="148"/>
  <c r="I10" i="148"/>
  <c r="H10" i="148"/>
  <c r="G10" i="148"/>
  <c r="F10" i="148"/>
  <c r="E10" i="148"/>
  <c r="D10" i="148"/>
  <c r="D35" i="148" s="1"/>
  <c r="D39" i="148" s="1"/>
  <c r="C22" i="148"/>
  <c r="C47" i="148" s="1"/>
  <c r="C21" i="148"/>
  <c r="C46" i="148" s="1"/>
  <c r="C20" i="148"/>
  <c r="C45" i="148"/>
  <c r="C19" i="148"/>
  <c r="C44" i="148" s="1"/>
  <c r="C18" i="148"/>
  <c r="C43" i="148" s="1"/>
  <c r="C17" i="148"/>
  <c r="C13" i="148"/>
  <c r="C12" i="148"/>
  <c r="C37" i="148"/>
  <c r="C11" i="148"/>
  <c r="C36" i="148" s="1"/>
  <c r="C10" i="148"/>
  <c r="C35" i="148"/>
  <c r="E22" i="56"/>
  <c r="E15" i="4"/>
  <c r="E18" i="4" s="1"/>
  <c r="E29" i="6"/>
  <c r="E59" i="6"/>
  <c r="D59" i="6"/>
  <c r="E56" i="6"/>
  <c r="E25" i="5"/>
  <c r="E22" i="5"/>
  <c r="E12" i="5"/>
  <c r="E14" i="12"/>
  <c r="E59" i="12"/>
  <c r="E40" i="24"/>
  <c r="E15" i="24"/>
  <c r="E26" i="93"/>
  <c r="E20" i="93"/>
  <c r="E20" i="54"/>
  <c r="E104" i="66" s="1"/>
  <c r="E18" i="53"/>
  <c r="E20" i="53" s="1"/>
  <c r="E103" i="66" s="1"/>
  <c r="E15" i="52"/>
  <c r="E61" i="51"/>
  <c r="E56" i="51"/>
  <c r="E31" i="51"/>
  <c r="E12" i="135"/>
  <c r="E15" i="135" s="1"/>
  <c r="E27" i="49"/>
  <c r="E13" i="49"/>
  <c r="E42" i="11"/>
  <c r="E39" i="11"/>
  <c r="E44" i="11" s="1"/>
  <c r="E89" i="66" s="1"/>
  <c r="E15" i="11"/>
  <c r="E12" i="10"/>
  <c r="E15" i="10" s="1"/>
  <c r="E24" i="9"/>
  <c r="E26" i="9" s="1"/>
  <c r="E11" i="9"/>
  <c r="E22" i="8"/>
  <c r="E37" i="8"/>
  <c r="E15" i="7"/>
  <c r="E12" i="7"/>
  <c r="E25" i="22"/>
  <c r="E13" i="22"/>
  <c r="E18" i="18"/>
  <c r="E20" i="18" s="1"/>
  <c r="E12" i="18"/>
  <c r="P19" i="15"/>
  <c r="O19" i="15"/>
  <c r="N19" i="15"/>
  <c r="I19" i="15"/>
  <c r="D19" i="15"/>
  <c r="C19" i="15"/>
  <c r="E19" i="15"/>
  <c r="E53" i="15"/>
  <c r="E52" i="15"/>
  <c r="E51" i="15"/>
  <c r="E50" i="15"/>
  <c r="E49" i="15"/>
  <c r="E47" i="15"/>
  <c r="E46" i="15"/>
  <c r="E45" i="15"/>
  <c r="E44" i="15"/>
  <c r="E43" i="15"/>
  <c r="E42" i="15"/>
  <c r="E41" i="15"/>
  <c r="E40" i="15"/>
  <c r="E39" i="15"/>
  <c r="E38" i="15"/>
  <c r="E37" i="15"/>
  <c r="E36" i="15"/>
  <c r="E35" i="15"/>
  <c r="E34" i="15"/>
  <c r="E33" i="15"/>
  <c r="E32" i="15"/>
  <c r="E31" i="15"/>
  <c r="E29" i="15"/>
  <c r="E28" i="15"/>
  <c r="E27" i="15"/>
  <c r="E26" i="15"/>
  <c r="E25" i="15"/>
  <c r="E24" i="15"/>
  <c r="E23" i="15"/>
  <c r="E22" i="15"/>
  <c r="E21" i="15"/>
  <c r="E20" i="15"/>
  <c r="E16" i="15"/>
  <c r="E15" i="15"/>
  <c r="E14" i="15"/>
  <c r="E13" i="15"/>
  <c r="E12" i="15"/>
  <c r="E11" i="15"/>
  <c r="E10" i="15"/>
  <c r="E9" i="15"/>
  <c r="E18" i="23"/>
  <c r="E13" i="23"/>
  <c r="E50" i="17"/>
  <c r="E16" i="17"/>
  <c r="E12" i="56"/>
  <c r="E14" i="13"/>
  <c r="E11" i="13"/>
  <c r="E127" i="66" s="1"/>
  <c r="E10" i="86"/>
  <c r="E10" i="48"/>
  <c r="E12" i="48" s="1"/>
  <c r="E65" i="66" s="1"/>
  <c r="E16" i="47"/>
  <c r="E14" i="46"/>
  <c r="E10" i="46"/>
  <c r="E32" i="44"/>
  <c r="E34" i="44" s="1"/>
  <c r="E19" i="44"/>
  <c r="E24" i="60"/>
  <c r="E19" i="60"/>
  <c r="E57" i="43"/>
  <c r="E58" i="66" s="1"/>
  <c r="E54" i="43"/>
  <c r="E28" i="43"/>
  <c r="E39" i="87"/>
  <c r="E41" i="87" s="1"/>
  <c r="E15" i="41"/>
  <c r="E18" i="41" s="1"/>
  <c r="E50" i="66" s="1"/>
  <c r="E29" i="40"/>
  <c r="E13" i="40"/>
  <c r="E12" i="36"/>
  <c r="E15" i="36" s="1"/>
  <c r="E45" i="66" s="1"/>
  <c r="E31" i="35"/>
  <c r="E16" i="35"/>
  <c r="E16" i="34"/>
  <c r="E40" i="34"/>
  <c r="E43" i="66" s="1"/>
  <c r="E37" i="34"/>
  <c r="E25" i="33"/>
  <c r="E11" i="33"/>
  <c r="E11" i="32"/>
  <c r="E14" i="32" s="1"/>
  <c r="E16" i="31"/>
  <c r="E19" i="31" s="1"/>
  <c r="E39" i="66" s="1"/>
  <c r="E34" i="30"/>
  <c r="E36" i="30" s="1"/>
  <c r="E38" i="66" s="1"/>
  <c r="E19" i="30"/>
  <c r="E21" i="29"/>
  <c r="E10" i="29"/>
  <c r="N22" i="56"/>
  <c r="I26" i="93"/>
  <c r="I56" i="6"/>
  <c r="K203" i="141"/>
  <c r="J203" i="141"/>
  <c r="I203" i="141"/>
  <c r="H203" i="141"/>
  <c r="G203" i="141"/>
  <c r="F203" i="141"/>
  <c r="E203" i="141"/>
  <c r="D203" i="141"/>
  <c r="C203" i="141"/>
  <c r="B203" i="141"/>
  <c r="E22" i="144"/>
  <c r="C22" i="144"/>
  <c r="B22" i="144"/>
  <c r="N40" i="34"/>
  <c r="I40" i="34"/>
  <c r="I43" i="66" s="1"/>
  <c r="D40" i="34"/>
  <c r="D43" i="66" s="1"/>
  <c r="C40" i="34"/>
  <c r="C43" i="66" s="1"/>
  <c r="O40" i="34"/>
  <c r="M43" i="66" s="1"/>
  <c r="T108" i="66"/>
  <c r="T129" i="66"/>
  <c r="T205" i="66"/>
  <c r="T246" i="66" s="1"/>
  <c r="D11" i="5"/>
  <c r="D10" i="5"/>
  <c r="D9" i="5"/>
  <c r="D11" i="22"/>
  <c r="D10" i="18"/>
  <c r="D12" i="18" s="1"/>
  <c r="D10" i="23"/>
  <c r="D10" i="15" s="1"/>
  <c r="D9" i="23"/>
  <c r="D11" i="17"/>
  <c r="D12" i="15" s="1"/>
  <c r="D10" i="17"/>
  <c r="D9" i="17"/>
  <c r="D10" i="56"/>
  <c r="D9" i="56"/>
  <c r="D10" i="43"/>
  <c r="N24" i="60"/>
  <c r="I24" i="60"/>
  <c r="D24" i="60"/>
  <c r="C24" i="60"/>
  <c r="I15" i="41"/>
  <c r="I18" i="41" s="1"/>
  <c r="D103" i="143"/>
  <c r="C9" i="143"/>
  <c r="C17" i="143"/>
  <c r="C44" i="143"/>
  <c r="P246" i="66"/>
  <c r="F76" i="26"/>
  <c r="F48" i="26"/>
  <c r="I11" i="33"/>
  <c r="I53" i="15"/>
  <c r="I52" i="15"/>
  <c r="I51" i="15"/>
  <c r="I50" i="15"/>
  <c r="I49" i="15"/>
  <c r="I47" i="15"/>
  <c r="I46" i="15"/>
  <c r="I45" i="15"/>
  <c r="I44" i="15"/>
  <c r="I43" i="15"/>
  <c r="I42" i="15"/>
  <c r="I41" i="15"/>
  <c r="I40" i="15"/>
  <c r="I39" i="15"/>
  <c r="I38" i="15"/>
  <c r="I37" i="15"/>
  <c r="I36" i="15"/>
  <c r="I35" i="15"/>
  <c r="I34" i="15"/>
  <c r="I33" i="15"/>
  <c r="I32" i="15"/>
  <c r="I31" i="15"/>
  <c r="I29" i="15"/>
  <c r="I28" i="15"/>
  <c r="I27" i="15"/>
  <c r="I26" i="15"/>
  <c r="I25" i="15"/>
  <c r="I24" i="15"/>
  <c r="I23" i="15"/>
  <c r="I22" i="15"/>
  <c r="I21" i="15"/>
  <c r="I20" i="15"/>
  <c r="I16" i="15"/>
  <c r="I15" i="15"/>
  <c r="I14" i="15"/>
  <c r="I13" i="15"/>
  <c r="I12" i="15"/>
  <c r="I11" i="15"/>
  <c r="I10" i="15"/>
  <c r="I9" i="15"/>
  <c r="D13" i="15"/>
  <c r="D14" i="15"/>
  <c r="D15" i="15"/>
  <c r="D16" i="15"/>
  <c r="D11" i="43"/>
  <c r="I15" i="4"/>
  <c r="I18" i="4" s="1"/>
  <c r="I59" i="6"/>
  <c r="I12" i="6"/>
  <c r="I29" i="6" s="1"/>
  <c r="I14" i="12"/>
  <c r="I20" i="54"/>
  <c r="I104" i="66" s="1"/>
  <c r="I15" i="52"/>
  <c r="I61" i="51"/>
  <c r="I56" i="51"/>
  <c r="I31" i="51"/>
  <c r="I64" i="51" s="1"/>
  <c r="I11" i="50"/>
  <c r="I14" i="50" s="1"/>
  <c r="I12" i="135"/>
  <c r="I13" i="49"/>
  <c r="I27" i="49"/>
  <c r="I15" i="11"/>
  <c r="I42" i="11"/>
  <c r="I39" i="11"/>
  <c r="I24" i="9"/>
  <c r="I37" i="8"/>
  <c r="I15" i="7"/>
  <c r="I25" i="22"/>
  <c r="I13" i="22"/>
  <c r="I18" i="18"/>
  <c r="I13" i="23"/>
  <c r="I55" i="17"/>
  <c r="I12" i="56"/>
  <c r="I24" i="56" s="1"/>
  <c r="I14" i="13"/>
  <c r="I11" i="13"/>
  <c r="I127" i="66" s="1"/>
  <c r="I17" i="86"/>
  <c r="I10" i="48"/>
  <c r="I12" i="48" s="1"/>
  <c r="I14" i="46"/>
  <c r="I10" i="46"/>
  <c r="I10" i="45"/>
  <c r="I32" i="44"/>
  <c r="I19" i="60"/>
  <c r="I57" i="43"/>
  <c r="I28" i="43"/>
  <c r="I13" i="40"/>
  <c r="I29" i="40"/>
  <c r="I36" i="38"/>
  <c r="I12" i="36"/>
  <c r="I15" i="36" s="1"/>
  <c r="I31" i="35"/>
  <c r="I33" i="35" s="1"/>
  <c r="I37" i="34"/>
  <c r="I16" i="34"/>
  <c r="I25" i="33"/>
  <c r="I11" i="32"/>
  <c r="I14" i="32" s="1"/>
  <c r="I16" i="31"/>
  <c r="I19" i="31" s="1"/>
  <c r="I34" i="30"/>
  <c r="I36" i="30" s="1"/>
  <c r="I19" i="30"/>
  <c r="Q66" i="11"/>
  <c r="L75" i="11" s="1"/>
  <c r="K183" i="141"/>
  <c r="K164" i="141"/>
  <c r="K144" i="141" s="1"/>
  <c r="K123" i="141" s="1"/>
  <c r="K102" i="141" s="1"/>
  <c r="K80" i="141" s="1"/>
  <c r="J183" i="141"/>
  <c r="J164" i="141" s="1"/>
  <c r="J144" i="141" s="1"/>
  <c r="J123" i="141" s="1"/>
  <c r="J102" i="141" s="1"/>
  <c r="J80" i="141" s="1"/>
  <c r="J58" i="141" s="1"/>
  <c r="I183" i="141"/>
  <c r="I164" i="141"/>
  <c r="I144" i="141" s="1"/>
  <c r="I123" i="141" s="1"/>
  <c r="I102" i="141" s="1"/>
  <c r="I80" i="141" s="1"/>
  <c r="I58" i="141" s="1"/>
  <c r="H183" i="141"/>
  <c r="H164" i="141" s="1"/>
  <c r="H144" i="141" s="1"/>
  <c r="H123" i="141" s="1"/>
  <c r="H102" i="141" s="1"/>
  <c r="H80" i="141" s="1"/>
  <c r="H58" i="141" s="1"/>
  <c r="G183" i="141"/>
  <c r="G164" i="141"/>
  <c r="G144" i="141" s="1"/>
  <c r="G123" i="141" s="1"/>
  <c r="G102" i="141" s="1"/>
  <c r="G80" i="141" s="1"/>
  <c r="G58" i="141" s="1"/>
  <c r="F183" i="141"/>
  <c r="F164" i="141" s="1"/>
  <c r="F144" i="141" s="1"/>
  <c r="F123" i="141" s="1"/>
  <c r="F102" i="141" s="1"/>
  <c r="F80" i="141" s="1"/>
  <c r="F58" i="141" s="1"/>
  <c r="E183" i="141"/>
  <c r="E164" i="141" s="1"/>
  <c r="E144" i="141" s="1"/>
  <c r="E123" i="141" s="1"/>
  <c r="E102" i="141" s="1"/>
  <c r="E80" i="141" s="1"/>
  <c r="E58" i="141" s="1"/>
  <c r="D183" i="141"/>
  <c r="D164" i="141" s="1"/>
  <c r="D144" i="141" s="1"/>
  <c r="D123" i="141" s="1"/>
  <c r="D102" i="141" s="1"/>
  <c r="D80" i="141" s="1"/>
  <c r="D58" i="141" s="1"/>
  <c r="C183" i="141"/>
  <c r="C164" i="141"/>
  <c r="C144" i="141" s="1"/>
  <c r="C123" i="141" s="1"/>
  <c r="C102" i="141" s="1"/>
  <c r="C80" i="141" s="1"/>
  <c r="C58" i="141" s="1"/>
  <c r="K182" i="141"/>
  <c r="K163" i="141" s="1"/>
  <c r="K143" i="141" s="1"/>
  <c r="K122" i="141" s="1"/>
  <c r="K101" i="141" s="1"/>
  <c r="K79" i="141" s="1"/>
  <c r="J182" i="141"/>
  <c r="J163" i="141"/>
  <c r="J143" i="141" s="1"/>
  <c r="J122" i="141" s="1"/>
  <c r="J101" i="141" s="1"/>
  <c r="J79" i="141" s="1"/>
  <c r="J57" i="141" s="1"/>
  <c r="I182" i="141"/>
  <c r="I163" i="141" s="1"/>
  <c r="I143" i="141" s="1"/>
  <c r="I122" i="141" s="1"/>
  <c r="I101" i="141" s="1"/>
  <c r="I79" i="141" s="1"/>
  <c r="I57" i="141" s="1"/>
  <c r="H182" i="141"/>
  <c r="H163" i="141" s="1"/>
  <c r="H143" i="141" s="1"/>
  <c r="H122" i="141" s="1"/>
  <c r="H101" i="141" s="1"/>
  <c r="H79" i="141" s="1"/>
  <c r="H57" i="141" s="1"/>
  <c r="G182" i="141"/>
  <c r="G163" i="141" s="1"/>
  <c r="G143" i="141" s="1"/>
  <c r="G122" i="141" s="1"/>
  <c r="G101" i="141" s="1"/>
  <c r="G79" i="141" s="1"/>
  <c r="G57" i="141" s="1"/>
  <c r="F182" i="141"/>
  <c r="F163" i="141" s="1"/>
  <c r="F143" i="141" s="1"/>
  <c r="F122" i="141" s="1"/>
  <c r="F101" i="141" s="1"/>
  <c r="F79" i="141" s="1"/>
  <c r="F57" i="141" s="1"/>
  <c r="E182" i="141"/>
  <c r="E163" i="141" s="1"/>
  <c r="E143" i="141" s="1"/>
  <c r="E122" i="141" s="1"/>
  <c r="E101" i="141" s="1"/>
  <c r="E79" i="141" s="1"/>
  <c r="E57" i="141" s="1"/>
  <c r="D182" i="141"/>
  <c r="D163" i="141"/>
  <c r="D143" i="141" s="1"/>
  <c r="D122" i="141" s="1"/>
  <c r="D101" i="141" s="1"/>
  <c r="D79" i="141" s="1"/>
  <c r="D57" i="141" s="1"/>
  <c r="C182" i="141"/>
  <c r="C163" i="141" s="1"/>
  <c r="C143" i="141" s="1"/>
  <c r="C122" i="141" s="1"/>
  <c r="C101" i="141" s="1"/>
  <c r="C79" i="141" s="1"/>
  <c r="C57" i="141" s="1"/>
  <c r="K181" i="141"/>
  <c r="K162" i="141" s="1"/>
  <c r="K142" i="141" s="1"/>
  <c r="K121" i="141" s="1"/>
  <c r="K100" i="141" s="1"/>
  <c r="K78" i="141" s="1"/>
  <c r="J181" i="141"/>
  <c r="J162" i="141"/>
  <c r="J142" i="141" s="1"/>
  <c r="J121" i="141" s="1"/>
  <c r="J100" i="141" s="1"/>
  <c r="J78" i="141" s="1"/>
  <c r="J56" i="141" s="1"/>
  <c r="I181" i="141"/>
  <c r="I162" i="141" s="1"/>
  <c r="I142" i="141" s="1"/>
  <c r="I121" i="141" s="1"/>
  <c r="I100" i="141" s="1"/>
  <c r="I78" i="141" s="1"/>
  <c r="I56" i="141" s="1"/>
  <c r="H181" i="141"/>
  <c r="H162" i="141" s="1"/>
  <c r="H142" i="141" s="1"/>
  <c r="H121" i="141" s="1"/>
  <c r="H100" i="141" s="1"/>
  <c r="H78" i="141" s="1"/>
  <c r="H56" i="141" s="1"/>
  <c r="G181" i="141"/>
  <c r="G162" i="141"/>
  <c r="G142" i="141" s="1"/>
  <c r="G121" i="141" s="1"/>
  <c r="G100" i="141" s="1"/>
  <c r="G78" i="141" s="1"/>
  <c r="G56" i="141" s="1"/>
  <c r="F181" i="141"/>
  <c r="F162" i="141" s="1"/>
  <c r="F142" i="141" s="1"/>
  <c r="F121" i="141" s="1"/>
  <c r="F100" i="141" s="1"/>
  <c r="F78" i="141" s="1"/>
  <c r="F56" i="141" s="1"/>
  <c r="E181" i="141"/>
  <c r="E162" i="141" s="1"/>
  <c r="E142" i="141" s="1"/>
  <c r="E121" i="141" s="1"/>
  <c r="E100" i="141" s="1"/>
  <c r="E78" i="141" s="1"/>
  <c r="E56" i="141" s="1"/>
  <c r="D181" i="141"/>
  <c r="D162" i="141" s="1"/>
  <c r="D142" i="141" s="1"/>
  <c r="D121" i="141" s="1"/>
  <c r="D100" i="141" s="1"/>
  <c r="D78" i="141" s="1"/>
  <c r="D56" i="141" s="1"/>
  <c r="C181" i="141"/>
  <c r="C162" i="141" s="1"/>
  <c r="C142" i="141" s="1"/>
  <c r="C121" i="141" s="1"/>
  <c r="C100" i="141" s="1"/>
  <c r="C78" i="141" s="1"/>
  <c r="C56" i="141" s="1"/>
  <c r="K180" i="141"/>
  <c r="K161" i="141" s="1"/>
  <c r="J180" i="141"/>
  <c r="J161" i="141" s="1"/>
  <c r="I180" i="141"/>
  <c r="I161" i="141" s="1"/>
  <c r="H180" i="141"/>
  <c r="H161" i="141" s="1"/>
  <c r="H141" i="141" s="1"/>
  <c r="G180" i="141"/>
  <c r="G161" i="141" s="1"/>
  <c r="F180" i="141"/>
  <c r="F161" i="141" s="1"/>
  <c r="E180" i="141"/>
  <c r="E161" i="141" s="1"/>
  <c r="E141" i="141" s="1"/>
  <c r="E120" i="141" s="1"/>
  <c r="E98" i="141" s="1"/>
  <c r="E76" i="141" s="1"/>
  <c r="D180" i="141"/>
  <c r="D161" i="141" s="1"/>
  <c r="D141" i="141" s="1"/>
  <c r="D120" i="141" s="1"/>
  <c r="D98" i="141" s="1"/>
  <c r="D76" i="141" s="1"/>
  <c r="C180" i="141"/>
  <c r="C161" i="141"/>
  <c r="C141" i="141" s="1"/>
  <c r="C120" i="141" s="1"/>
  <c r="C98" i="141" s="1"/>
  <c r="C76" i="141" s="1"/>
  <c r="B180" i="141"/>
  <c r="B161" i="141" s="1"/>
  <c r="B141" i="141" s="1"/>
  <c r="B120" i="141" s="1"/>
  <c r="B98" i="141" s="1"/>
  <c r="B181" i="141"/>
  <c r="B162" i="141" s="1"/>
  <c r="B182" i="141"/>
  <c r="B163" i="141" s="1"/>
  <c r="B143" i="141" s="1"/>
  <c r="B122" i="141" s="1"/>
  <c r="B101" i="141" s="1"/>
  <c r="B183" i="141"/>
  <c r="B164" i="141" s="1"/>
  <c r="B144" i="141" s="1"/>
  <c r="B123" i="141" s="1"/>
  <c r="B102" i="141" s="1"/>
  <c r="Q52" i="34"/>
  <c r="O13" i="34" s="1"/>
  <c r="L62" i="34" s="1"/>
  <c r="M62" i="34" s="1"/>
  <c r="N62" i="34" s="1"/>
  <c r="O243" i="66"/>
  <c r="P34" i="15"/>
  <c r="P11" i="15"/>
  <c r="P12" i="15"/>
  <c r="K179" i="141"/>
  <c r="K160" i="141" s="1"/>
  <c r="K168" i="141" s="1"/>
  <c r="J179" i="141"/>
  <c r="J160" i="141" s="1"/>
  <c r="J187" i="141"/>
  <c r="I179" i="141"/>
  <c r="H179" i="141"/>
  <c r="H188" i="141"/>
  <c r="G179" i="141"/>
  <c r="G160" i="141" s="1"/>
  <c r="G140" i="141" s="1"/>
  <c r="G119" i="141" s="1"/>
  <c r="F179" i="141"/>
  <c r="F188" i="141" s="1"/>
  <c r="E179" i="141"/>
  <c r="E160" i="141" s="1"/>
  <c r="E188" i="141"/>
  <c r="D179" i="141"/>
  <c r="C179" i="141"/>
  <c r="K178" i="141"/>
  <c r="K159" i="141" s="1"/>
  <c r="J178" i="141"/>
  <c r="I178" i="141"/>
  <c r="I159" i="141" s="1"/>
  <c r="I139" i="141" s="1"/>
  <c r="I118" i="141" s="1"/>
  <c r="I96" i="141" s="1"/>
  <c r="I74" i="141" s="1"/>
  <c r="I52" i="141" s="1"/>
  <c r="H178" i="141"/>
  <c r="H159" i="141" s="1"/>
  <c r="H139" i="141" s="1"/>
  <c r="H118" i="141" s="1"/>
  <c r="H96" i="141" s="1"/>
  <c r="H74" i="141" s="1"/>
  <c r="H52" i="141" s="1"/>
  <c r="G178" i="141"/>
  <c r="G159" i="141"/>
  <c r="G139" i="141" s="1"/>
  <c r="G118" i="141" s="1"/>
  <c r="G96" i="141" s="1"/>
  <c r="G74" i="141" s="1"/>
  <c r="G52" i="141" s="1"/>
  <c r="F178" i="141"/>
  <c r="F159" i="141" s="1"/>
  <c r="E178" i="141"/>
  <c r="E159" i="141" s="1"/>
  <c r="E139" i="141" s="1"/>
  <c r="E118" i="141" s="1"/>
  <c r="E96" i="141" s="1"/>
  <c r="E74" i="141" s="1"/>
  <c r="E52" i="141" s="1"/>
  <c r="D178" i="141"/>
  <c r="D159" i="141"/>
  <c r="D139" i="141" s="1"/>
  <c r="D118" i="141" s="1"/>
  <c r="D96" i="141" s="1"/>
  <c r="D74" i="141" s="1"/>
  <c r="D52" i="141" s="1"/>
  <c r="C178" i="141"/>
  <c r="C159" i="141" s="1"/>
  <c r="C139" i="141" s="1"/>
  <c r="C118" i="141" s="1"/>
  <c r="C96" i="141" s="1"/>
  <c r="C74" i="141" s="1"/>
  <c r="C52" i="141" s="1"/>
  <c r="K177" i="141"/>
  <c r="K158" i="141" s="1"/>
  <c r="K138" i="141" s="1"/>
  <c r="K117" i="141" s="1"/>
  <c r="K95" i="141" s="1"/>
  <c r="K73" i="141" s="1"/>
  <c r="J177" i="141"/>
  <c r="J158" i="141" s="1"/>
  <c r="J138" i="141" s="1"/>
  <c r="J117" i="141" s="1"/>
  <c r="J95" i="141" s="1"/>
  <c r="J73" i="141" s="1"/>
  <c r="J51" i="141" s="1"/>
  <c r="I177" i="141"/>
  <c r="I158" i="141"/>
  <c r="I138" i="141" s="1"/>
  <c r="I117" i="141" s="1"/>
  <c r="I95" i="141" s="1"/>
  <c r="I73" i="141" s="1"/>
  <c r="I51" i="141" s="1"/>
  <c r="H177" i="141"/>
  <c r="H158" i="141" s="1"/>
  <c r="H138" i="141" s="1"/>
  <c r="H117" i="141" s="1"/>
  <c r="H95" i="141" s="1"/>
  <c r="H73" i="141" s="1"/>
  <c r="H51" i="141" s="1"/>
  <c r="G177" i="141"/>
  <c r="G158" i="141" s="1"/>
  <c r="G138" i="141" s="1"/>
  <c r="G117" i="141" s="1"/>
  <c r="G95" i="141" s="1"/>
  <c r="G73" i="141" s="1"/>
  <c r="G51" i="141" s="1"/>
  <c r="F177" i="141"/>
  <c r="F158" i="141" s="1"/>
  <c r="F138" i="141" s="1"/>
  <c r="F117" i="141" s="1"/>
  <c r="F95" i="141" s="1"/>
  <c r="F73" i="141" s="1"/>
  <c r="F51" i="141" s="1"/>
  <c r="E177" i="141"/>
  <c r="E158" i="141" s="1"/>
  <c r="E138" i="141" s="1"/>
  <c r="E117" i="141" s="1"/>
  <c r="E95" i="141" s="1"/>
  <c r="E73" i="141" s="1"/>
  <c r="E51" i="141" s="1"/>
  <c r="D177" i="141"/>
  <c r="D158" i="141" s="1"/>
  <c r="D138" i="141" s="1"/>
  <c r="D117" i="141" s="1"/>
  <c r="D95" i="141" s="1"/>
  <c r="D73" i="141" s="1"/>
  <c r="D51" i="141" s="1"/>
  <c r="C177" i="141"/>
  <c r="C158" i="141" s="1"/>
  <c r="C138" i="141" s="1"/>
  <c r="C117" i="141" s="1"/>
  <c r="C95" i="141" s="1"/>
  <c r="C73" i="141" s="1"/>
  <c r="C51" i="141" s="1"/>
  <c r="K176" i="141"/>
  <c r="K157" i="141" s="1"/>
  <c r="K137" i="141" s="1"/>
  <c r="K116" i="141" s="1"/>
  <c r="K94" i="141" s="1"/>
  <c r="K72" i="141" s="1"/>
  <c r="J176" i="141"/>
  <c r="J157" i="141" s="1"/>
  <c r="J137" i="141" s="1"/>
  <c r="J116" i="141" s="1"/>
  <c r="J94" i="141" s="1"/>
  <c r="J72" i="141" s="1"/>
  <c r="J50" i="141" s="1"/>
  <c r="I176" i="141"/>
  <c r="I157" i="141" s="1"/>
  <c r="I137" i="141" s="1"/>
  <c r="I116" i="141" s="1"/>
  <c r="I94" i="141" s="1"/>
  <c r="I72" i="141" s="1"/>
  <c r="I50" i="141" s="1"/>
  <c r="H176" i="141"/>
  <c r="H157" i="141" s="1"/>
  <c r="G176" i="141"/>
  <c r="G157" i="141"/>
  <c r="G137" i="141" s="1"/>
  <c r="G116" i="141" s="1"/>
  <c r="G94" i="141" s="1"/>
  <c r="G72" i="141" s="1"/>
  <c r="G50" i="141" s="1"/>
  <c r="F176" i="141"/>
  <c r="F157" i="141" s="1"/>
  <c r="F137" i="141" s="1"/>
  <c r="F116" i="141" s="1"/>
  <c r="F94" i="141" s="1"/>
  <c r="F72" i="141" s="1"/>
  <c r="F50" i="141" s="1"/>
  <c r="E176" i="141"/>
  <c r="E157" i="141" s="1"/>
  <c r="E137" i="141" s="1"/>
  <c r="E116" i="141" s="1"/>
  <c r="E94" i="141" s="1"/>
  <c r="E72" i="141" s="1"/>
  <c r="E50" i="141" s="1"/>
  <c r="D176" i="141"/>
  <c r="D157" i="141" s="1"/>
  <c r="D137" i="141" s="1"/>
  <c r="D116" i="141" s="1"/>
  <c r="D94" i="141" s="1"/>
  <c r="D72" i="141" s="1"/>
  <c r="D50" i="141" s="1"/>
  <c r="C176" i="141"/>
  <c r="C157" i="141"/>
  <c r="C137" i="141" s="1"/>
  <c r="C116" i="141" s="1"/>
  <c r="C94" i="141" s="1"/>
  <c r="C72" i="141" s="1"/>
  <c r="C50" i="141" s="1"/>
  <c r="K175" i="141"/>
  <c r="K156" i="141" s="1"/>
  <c r="K136" i="141" s="1"/>
  <c r="K115" i="141" s="1"/>
  <c r="K93" i="141" s="1"/>
  <c r="K71" i="141" s="1"/>
  <c r="J175" i="141"/>
  <c r="J156" i="141"/>
  <c r="J136" i="141" s="1"/>
  <c r="J115" i="141" s="1"/>
  <c r="J93" i="141" s="1"/>
  <c r="J71" i="141" s="1"/>
  <c r="J49" i="141" s="1"/>
  <c r="I175" i="141"/>
  <c r="I156" i="141" s="1"/>
  <c r="I136" i="141" s="1"/>
  <c r="I115" i="141" s="1"/>
  <c r="I93" i="141" s="1"/>
  <c r="I71" i="141" s="1"/>
  <c r="I49" i="141" s="1"/>
  <c r="H175" i="141"/>
  <c r="H156" i="141"/>
  <c r="H136" i="141" s="1"/>
  <c r="H115" i="141" s="1"/>
  <c r="H93" i="141" s="1"/>
  <c r="H71" i="141" s="1"/>
  <c r="H49" i="141" s="1"/>
  <c r="G175" i="141"/>
  <c r="G156" i="141" s="1"/>
  <c r="G136" i="141" s="1"/>
  <c r="G115" i="141" s="1"/>
  <c r="G93" i="141" s="1"/>
  <c r="G71" i="141" s="1"/>
  <c r="G49" i="141" s="1"/>
  <c r="F175" i="141"/>
  <c r="F156" i="141" s="1"/>
  <c r="F136" i="141" s="1"/>
  <c r="F115" i="141" s="1"/>
  <c r="F93" i="141" s="1"/>
  <c r="F71" i="141" s="1"/>
  <c r="F49" i="141" s="1"/>
  <c r="E175" i="141"/>
  <c r="E156" i="141" s="1"/>
  <c r="E136" i="141" s="1"/>
  <c r="E115" i="141" s="1"/>
  <c r="E93" i="141" s="1"/>
  <c r="E71" i="141" s="1"/>
  <c r="E49" i="141" s="1"/>
  <c r="D175" i="141"/>
  <c r="D156" i="141" s="1"/>
  <c r="D136" i="141" s="1"/>
  <c r="D115" i="141" s="1"/>
  <c r="D93" i="141" s="1"/>
  <c r="D71" i="141" s="1"/>
  <c r="D49" i="141" s="1"/>
  <c r="C175" i="141"/>
  <c r="C156" i="141"/>
  <c r="C136" i="141" s="1"/>
  <c r="C115" i="141" s="1"/>
  <c r="C93" i="141" s="1"/>
  <c r="C71" i="141" s="1"/>
  <c r="C49" i="141" s="1"/>
  <c r="K174" i="141"/>
  <c r="K155" i="141" s="1"/>
  <c r="K135" i="141" s="1"/>
  <c r="K114" i="141" s="1"/>
  <c r="K92" i="141" s="1"/>
  <c r="K70" i="141" s="1"/>
  <c r="J174" i="141"/>
  <c r="J155" i="141" s="1"/>
  <c r="J135" i="141" s="1"/>
  <c r="J114" i="141" s="1"/>
  <c r="J92" i="141" s="1"/>
  <c r="J70" i="141" s="1"/>
  <c r="J48" i="141" s="1"/>
  <c r="I174" i="141"/>
  <c r="I155" i="141" s="1"/>
  <c r="I135" i="141" s="1"/>
  <c r="I114" i="141" s="1"/>
  <c r="I92" i="141" s="1"/>
  <c r="I70" i="141" s="1"/>
  <c r="I48" i="141" s="1"/>
  <c r="H174" i="141"/>
  <c r="H155" i="141"/>
  <c r="H135" i="141" s="1"/>
  <c r="H114" i="141" s="1"/>
  <c r="H92" i="141" s="1"/>
  <c r="H70" i="141" s="1"/>
  <c r="H48" i="141" s="1"/>
  <c r="G174" i="141"/>
  <c r="G155" i="141" s="1"/>
  <c r="G135" i="141" s="1"/>
  <c r="G114" i="141" s="1"/>
  <c r="G92" i="141" s="1"/>
  <c r="G70" i="141" s="1"/>
  <c r="G48" i="141" s="1"/>
  <c r="F174" i="141"/>
  <c r="F155" i="141" s="1"/>
  <c r="F135" i="141" s="1"/>
  <c r="F114" i="141" s="1"/>
  <c r="F92" i="141" s="1"/>
  <c r="F70" i="141" s="1"/>
  <c r="F48" i="141" s="1"/>
  <c r="E174" i="141"/>
  <c r="E155" i="141" s="1"/>
  <c r="D174" i="141"/>
  <c r="D155" i="141" s="1"/>
  <c r="D135" i="141" s="1"/>
  <c r="D114" i="141" s="1"/>
  <c r="D92" i="141" s="1"/>
  <c r="D70" i="141" s="1"/>
  <c r="D48" i="141" s="1"/>
  <c r="C174" i="141"/>
  <c r="C155" i="141"/>
  <c r="C135" i="141" s="1"/>
  <c r="C114" i="141" s="1"/>
  <c r="C92" i="141" s="1"/>
  <c r="C70" i="141" s="1"/>
  <c r="C48" i="141" s="1"/>
  <c r="B179" i="141"/>
  <c r="B188" i="141" s="1"/>
  <c r="B178" i="141"/>
  <c r="B159" i="141" s="1"/>
  <c r="B139" i="141" s="1"/>
  <c r="B118" i="141" s="1"/>
  <c r="B96" i="141" s="1"/>
  <c r="B177" i="141"/>
  <c r="B158" i="141" s="1"/>
  <c r="B138" i="141" s="1"/>
  <c r="B117" i="141" s="1"/>
  <c r="B95" i="141" s="1"/>
  <c r="B176" i="141"/>
  <c r="B157" i="141" s="1"/>
  <c r="B137" i="141" s="1"/>
  <c r="B116" i="141" s="1"/>
  <c r="B94" i="141" s="1"/>
  <c r="B175" i="141"/>
  <c r="B156" i="141" s="1"/>
  <c r="B136" i="141" s="1"/>
  <c r="B115" i="141" s="1"/>
  <c r="B93" i="141" s="1"/>
  <c r="B174" i="141"/>
  <c r="B155" i="141" s="1"/>
  <c r="B135" i="141" s="1"/>
  <c r="B114" i="141" s="1"/>
  <c r="B92" i="141" s="1"/>
  <c r="V238" i="66"/>
  <c r="V246" i="66" s="1"/>
  <c r="O205" i="66"/>
  <c r="O20" i="54"/>
  <c r="N20" i="54"/>
  <c r="N22" i="54" s="1"/>
  <c r="D20" i="54"/>
  <c r="C20" i="54"/>
  <c r="N54" i="43"/>
  <c r="C23" i="38"/>
  <c r="C36" i="38" s="1"/>
  <c r="C43" i="43"/>
  <c r="C54" i="43" s="1"/>
  <c r="C9" i="107"/>
  <c r="E30" i="2"/>
  <c r="D9" i="8"/>
  <c r="D22" i="8" s="1"/>
  <c r="D8" i="43"/>
  <c r="D9" i="33"/>
  <c r="D11" i="33" s="1"/>
  <c r="G187" i="141"/>
  <c r="H102" i="138"/>
  <c r="H122" i="138" s="1"/>
  <c r="G102" i="138"/>
  <c r="F102" i="138"/>
  <c r="H101" i="138"/>
  <c r="G101" i="138"/>
  <c r="F101" i="138"/>
  <c r="H99" i="138"/>
  <c r="G99" i="138"/>
  <c r="F99" i="138"/>
  <c r="F119" i="138" s="1"/>
  <c r="E99" i="138"/>
  <c r="D99" i="138"/>
  <c r="C99" i="138"/>
  <c r="C119" i="138"/>
  <c r="H98" i="138"/>
  <c r="G98" i="138"/>
  <c r="F98" i="138"/>
  <c r="F87" i="138"/>
  <c r="F76" i="138" s="1"/>
  <c r="F66" i="138" s="1"/>
  <c r="F56" i="138" s="1"/>
  <c r="F46" i="138" s="1"/>
  <c r="F36" i="138" s="1"/>
  <c r="F26" i="138" s="1"/>
  <c r="F16" i="138" s="1"/>
  <c r="L82" i="43" s="1"/>
  <c r="E98" i="138"/>
  <c r="E87" i="138" s="1"/>
  <c r="E76" i="138" s="1"/>
  <c r="E66" i="138" s="1"/>
  <c r="E56" i="138" s="1"/>
  <c r="D98" i="138"/>
  <c r="C98" i="138"/>
  <c r="C118" i="138"/>
  <c r="E102" i="138"/>
  <c r="E101" i="138"/>
  <c r="B99" i="138"/>
  <c r="B98" i="138"/>
  <c r="B118" i="138" s="1"/>
  <c r="C12" i="15"/>
  <c r="C10" i="17"/>
  <c r="C16" i="17" s="1"/>
  <c r="C11" i="43"/>
  <c r="C28" i="43" s="1"/>
  <c r="C19" i="30"/>
  <c r="D10" i="29"/>
  <c r="N11" i="33"/>
  <c r="C11" i="33"/>
  <c r="D10" i="86"/>
  <c r="D25" i="93"/>
  <c r="D26" i="93" s="1"/>
  <c r="D20" i="93"/>
  <c r="D22" i="5"/>
  <c r="D12" i="6"/>
  <c r="D29" i="6" s="1"/>
  <c r="D32" i="6"/>
  <c r="D33" i="6"/>
  <c r="D36" i="6"/>
  <c r="I5" i="2"/>
  <c r="I16" i="2"/>
  <c r="C6" i="107"/>
  <c r="C15" i="4"/>
  <c r="C18" i="4" s="1"/>
  <c r="D15" i="4"/>
  <c r="D18" i="4" s="1"/>
  <c r="N15" i="4"/>
  <c r="N18" i="4" s="1"/>
  <c r="C29" i="6"/>
  <c r="N29" i="6"/>
  <c r="C56" i="6"/>
  <c r="N56" i="6"/>
  <c r="C59" i="6"/>
  <c r="N59" i="6"/>
  <c r="C12" i="5"/>
  <c r="N12" i="5"/>
  <c r="C22" i="5"/>
  <c r="N22" i="5"/>
  <c r="C25" i="5"/>
  <c r="D25" i="5"/>
  <c r="N25" i="5"/>
  <c r="C14" i="12"/>
  <c r="D14" i="12"/>
  <c r="N14" i="12"/>
  <c r="C59" i="12"/>
  <c r="D59" i="12"/>
  <c r="C15" i="24"/>
  <c r="D15" i="24"/>
  <c r="C40" i="24"/>
  <c r="D40" i="24"/>
  <c r="C20" i="93"/>
  <c r="N20" i="93"/>
  <c r="C26" i="93"/>
  <c r="N26" i="93"/>
  <c r="C18" i="53"/>
  <c r="C20" i="53" s="1"/>
  <c r="D18" i="53"/>
  <c r="D20" i="53" s="1"/>
  <c r="N18" i="53"/>
  <c r="N20" i="53" s="1"/>
  <c r="C15" i="52"/>
  <c r="D15" i="52"/>
  <c r="N15" i="52"/>
  <c r="C31" i="51"/>
  <c r="D31" i="51"/>
  <c r="N31" i="51"/>
  <c r="C56" i="51"/>
  <c r="D56" i="51"/>
  <c r="N56" i="51"/>
  <c r="C61" i="51"/>
  <c r="D61" i="51"/>
  <c r="N61" i="51"/>
  <c r="C11" i="50"/>
  <c r="C14" i="50" s="1"/>
  <c r="D11" i="50"/>
  <c r="D14" i="50" s="1"/>
  <c r="N11" i="50"/>
  <c r="N14" i="50" s="1"/>
  <c r="O11" i="50"/>
  <c r="C12" i="135"/>
  <c r="C15" i="135" s="1"/>
  <c r="D12" i="135"/>
  <c r="D15" i="135" s="1"/>
  <c r="D91" i="66" s="1"/>
  <c r="N12" i="135"/>
  <c r="N15" i="135" s="1"/>
  <c r="O12" i="135"/>
  <c r="O15" i="135" s="1"/>
  <c r="C13" i="49"/>
  <c r="D13" i="49"/>
  <c r="N13" i="49"/>
  <c r="C27" i="49"/>
  <c r="D27" i="49"/>
  <c r="N27" i="49"/>
  <c r="C15" i="11"/>
  <c r="D15" i="11"/>
  <c r="C39" i="11"/>
  <c r="D39" i="11"/>
  <c r="N39" i="11"/>
  <c r="C42" i="11"/>
  <c r="D42" i="11"/>
  <c r="N42" i="11"/>
  <c r="O42" i="11"/>
  <c r="C12" i="10"/>
  <c r="C15" i="10" s="1"/>
  <c r="C84" i="66" s="1"/>
  <c r="D12" i="10"/>
  <c r="D15" i="10" s="1"/>
  <c r="N12" i="10"/>
  <c r="N15" i="10" s="1"/>
  <c r="O12" i="10"/>
  <c r="O15" i="10" s="1"/>
  <c r="C11" i="9"/>
  <c r="D11" i="9"/>
  <c r="C24" i="9"/>
  <c r="D24" i="9"/>
  <c r="N24" i="9"/>
  <c r="C22" i="8"/>
  <c r="C37" i="8"/>
  <c r="D37" i="8"/>
  <c r="N37" i="8"/>
  <c r="C12" i="7"/>
  <c r="D12" i="7"/>
  <c r="N12" i="7"/>
  <c r="C15" i="7"/>
  <c r="D15" i="7"/>
  <c r="N15" i="7"/>
  <c r="O15" i="7"/>
  <c r="L25" i="7" s="1"/>
  <c r="C13" i="22"/>
  <c r="D13" i="22"/>
  <c r="N13" i="22"/>
  <c r="C25" i="22"/>
  <c r="D25" i="22"/>
  <c r="N25" i="22"/>
  <c r="C12" i="18"/>
  <c r="N12" i="18"/>
  <c r="C18" i="18"/>
  <c r="D18" i="18"/>
  <c r="N18" i="18"/>
  <c r="C13" i="23"/>
  <c r="N13" i="23"/>
  <c r="C18" i="23"/>
  <c r="D18" i="23"/>
  <c r="N16" i="17"/>
  <c r="C50" i="17"/>
  <c r="D50" i="17"/>
  <c r="N50" i="17"/>
  <c r="C12" i="56"/>
  <c r="D12" i="56"/>
  <c r="N12" i="56"/>
  <c r="C22" i="56"/>
  <c r="D22" i="56"/>
  <c r="C9" i="15"/>
  <c r="N9" i="15"/>
  <c r="C10" i="15"/>
  <c r="N10" i="15"/>
  <c r="O10" i="15"/>
  <c r="P10" i="15"/>
  <c r="N11" i="15"/>
  <c r="O11" i="15"/>
  <c r="N12" i="15"/>
  <c r="O12" i="15"/>
  <c r="C13" i="15"/>
  <c r="C14" i="15"/>
  <c r="C16" i="15"/>
  <c r="N13" i="15"/>
  <c r="N14" i="15"/>
  <c r="O14" i="15"/>
  <c r="P14" i="15"/>
  <c r="N15" i="15"/>
  <c r="O15" i="15"/>
  <c r="P15" i="15"/>
  <c r="N16" i="15"/>
  <c r="O16" i="15"/>
  <c r="P16" i="15"/>
  <c r="C20" i="15"/>
  <c r="D20" i="15"/>
  <c r="D21" i="15"/>
  <c r="D22" i="15"/>
  <c r="D23" i="15"/>
  <c r="D24" i="15"/>
  <c r="D25" i="15"/>
  <c r="D26" i="15"/>
  <c r="D27" i="15"/>
  <c r="D28" i="15"/>
  <c r="D29" i="15"/>
  <c r="D31" i="15"/>
  <c r="D32" i="15"/>
  <c r="D33" i="15"/>
  <c r="D34" i="15"/>
  <c r="D35" i="15"/>
  <c r="D36" i="15"/>
  <c r="D37" i="15"/>
  <c r="D38" i="15"/>
  <c r="D39" i="15"/>
  <c r="D40" i="15"/>
  <c r="D41" i="15"/>
  <c r="D42" i="15"/>
  <c r="D43" i="15"/>
  <c r="D44" i="15"/>
  <c r="D45" i="15"/>
  <c r="D46" i="15"/>
  <c r="D47" i="15"/>
  <c r="D49" i="15"/>
  <c r="D50" i="15"/>
  <c r="D51" i="15"/>
  <c r="D52" i="15"/>
  <c r="D53" i="15"/>
  <c r="N20" i="15"/>
  <c r="O20" i="15"/>
  <c r="P20" i="15"/>
  <c r="C21" i="15"/>
  <c r="N21" i="15"/>
  <c r="O21" i="15"/>
  <c r="P21" i="15"/>
  <c r="C22" i="15"/>
  <c r="N22" i="15"/>
  <c r="O22" i="15"/>
  <c r="P22" i="15"/>
  <c r="C23" i="15"/>
  <c r="N23" i="15"/>
  <c r="O23" i="15"/>
  <c r="P23" i="15"/>
  <c r="C24" i="15"/>
  <c r="N24" i="15"/>
  <c r="O24" i="15"/>
  <c r="P24" i="15"/>
  <c r="C25" i="15"/>
  <c r="N25" i="15"/>
  <c r="O25" i="15"/>
  <c r="P25" i="15"/>
  <c r="C26" i="15"/>
  <c r="N26" i="15"/>
  <c r="O26" i="15"/>
  <c r="P26" i="15"/>
  <c r="C27" i="15"/>
  <c r="N27" i="15"/>
  <c r="O27" i="15"/>
  <c r="P27" i="15"/>
  <c r="C28" i="15"/>
  <c r="N28" i="15"/>
  <c r="O28" i="15"/>
  <c r="P28" i="15"/>
  <c r="C29" i="15"/>
  <c r="N29" i="15"/>
  <c r="O29" i="15"/>
  <c r="P29" i="15"/>
  <c r="C31" i="15"/>
  <c r="N31" i="15"/>
  <c r="O31" i="15"/>
  <c r="P31" i="15"/>
  <c r="C32" i="15"/>
  <c r="N32" i="15"/>
  <c r="O32" i="15"/>
  <c r="P32" i="15"/>
  <c r="C33" i="15"/>
  <c r="N33" i="15"/>
  <c r="O33" i="15"/>
  <c r="P33" i="15"/>
  <c r="C34" i="15"/>
  <c r="N34" i="15"/>
  <c r="O34" i="15"/>
  <c r="C35" i="15"/>
  <c r="C36" i="15"/>
  <c r="C37" i="15"/>
  <c r="C38" i="15"/>
  <c r="C39" i="15"/>
  <c r="C40" i="15"/>
  <c r="C41" i="15"/>
  <c r="C42" i="15"/>
  <c r="C43" i="15"/>
  <c r="C44" i="15"/>
  <c r="C45" i="15"/>
  <c r="C46" i="15"/>
  <c r="C47" i="15"/>
  <c r="C49" i="15"/>
  <c r="C50" i="15"/>
  <c r="C51" i="15"/>
  <c r="C52" i="15"/>
  <c r="C53" i="15"/>
  <c r="N35" i="15"/>
  <c r="O35" i="15"/>
  <c r="P35" i="15"/>
  <c r="N36" i="15"/>
  <c r="O36" i="15"/>
  <c r="P36" i="15"/>
  <c r="N37" i="15"/>
  <c r="O37" i="15"/>
  <c r="P37" i="15"/>
  <c r="N38" i="15"/>
  <c r="O38" i="15"/>
  <c r="P38" i="15"/>
  <c r="N39" i="15"/>
  <c r="O39" i="15"/>
  <c r="P39" i="15"/>
  <c r="N40" i="15"/>
  <c r="O40" i="15"/>
  <c r="P40" i="15"/>
  <c r="N41" i="15"/>
  <c r="O41" i="15"/>
  <c r="P41" i="15"/>
  <c r="N42" i="15"/>
  <c r="O42" i="15"/>
  <c r="P42" i="15"/>
  <c r="N43" i="15"/>
  <c r="O43" i="15"/>
  <c r="P43" i="15"/>
  <c r="N44" i="15"/>
  <c r="O44" i="15"/>
  <c r="P44" i="15"/>
  <c r="N45" i="15"/>
  <c r="O45" i="15"/>
  <c r="P45" i="15"/>
  <c r="N46" i="15"/>
  <c r="O46" i="15"/>
  <c r="P46" i="15"/>
  <c r="N47" i="15"/>
  <c r="O47" i="15"/>
  <c r="P47" i="15"/>
  <c r="N49" i="15"/>
  <c r="O49" i="15"/>
  <c r="P49" i="15"/>
  <c r="N50" i="15"/>
  <c r="O50" i="15"/>
  <c r="P50" i="15"/>
  <c r="N51" i="15"/>
  <c r="O51" i="15"/>
  <c r="P51" i="15"/>
  <c r="N52" i="15"/>
  <c r="O52" i="15"/>
  <c r="P52" i="15"/>
  <c r="N53" i="15"/>
  <c r="O53" i="15"/>
  <c r="P53" i="15"/>
  <c r="P94" i="15"/>
  <c r="O13" i="15"/>
  <c r="V96" i="15"/>
  <c r="C11" i="13"/>
  <c r="C127" i="66" s="1"/>
  <c r="D11" i="13"/>
  <c r="D127" i="66" s="1"/>
  <c r="N11" i="13"/>
  <c r="O11" i="13"/>
  <c r="C14" i="13"/>
  <c r="C128" i="66" s="1"/>
  <c r="D14" i="13"/>
  <c r="N14" i="13"/>
  <c r="C10" i="86"/>
  <c r="N10" i="86"/>
  <c r="N17" i="86"/>
  <c r="C10" i="48"/>
  <c r="C12" i="48" s="1"/>
  <c r="C65" i="66" s="1"/>
  <c r="D10" i="48"/>
  <c r="D12" i="48" s="1"/>
  <c r="D65" i="66" s="1"/>
  <c r="N10" i="48"/>
  <c r="N12" i="48" s="1"/>
  <c r="O10" i="48"/>
  <c r="O12" i="48" s="1"/>
  <c r="C16" i="47"/>
  <c r="D16" i="47"/>
  <c r="N16" i="47"/>
  <c r="N21" i="47" s="1"/>
  <c r="C10" i="46"/>
  <c r="D10" i="46"/>
  <c r="N10" i="46"/>
  <c r="C14" i="46"/>
  <c r="D14" i="46"/>
  <c r="O14" i="46"/>
  <c r="O16" i="46" s="1"/>
  <c r="C10" i="45"/>
  <c r="C12" i="45" s="1"/>
  <c r="C61" i="66" s="1"/>
  <c r="D10" i="45"/>
  <c r="D12" i="45" s="1"/>
  <c r="N10" i="45"/>
  <c r="N12" i="45" s="1"/>
  <c r="O10" i="45"/>
  <c r="O12" i="45" s="1"/>
  <c r="C19" i="44"/>
  <c r="D19" i="44"/>
  <c r="N19" i="44"/>
  <c r="C32" i="44"/>
  <c r="D32" i="44"/>
  <c r="N32" i="44"/>
  <c r="C19" i="60"/>
  <c r="C26" i="60" s="1"/>
  <c r="D19" i="60"/>
  <c r="N19" i="60"/>
  <c r="N28" i="43"/>
  <c r="D54" i="43"/>
  <c r="C57" i="43"/>
  <c r="D57" i="43"/>
  <c r="D58" i="66" s="1"/>
  <c r="N57" i="43"/>
  <c r="C39" i="87"/>
  <c r="C41" i="87" s="1"/>
  <c r="D39" i="87"/>
  <c r="D41" i="87" s="1"/>
  <c r="D52" i="66" s="1"/>
  <c r="N39" i="87"/>
  <c r="N41" i="87" s="1"/>
  <c r="C15" i="41"/>
  <c r="C18" i="41" s="1"/>
  <c r="C50" i="66" s="1"/>
  <c r="D15" i="41"/>
  <c r="D18" i="41" s="1"/>
  <c r="N15" i="41"/>
  <c r="N18" i="41" s="1"/>
  <c r="C13" i="40"/>
  <c r="D13" i="40"/>
  <c r="C29" i="40"/>
  <c r="D29" i="40"/>
  <c r="N29" i="40"/>
  <c r="Q39" i="40"/>
  <c r="O11" i="40" s="1"/>
  <c r="L47" i="40" s="1"/>
  <c r="C18" i="38"/>
  <c r="C38" i="38" s="1"/>
  <c r="D18" i="38"/>
  <c r="D36" i="38"/>
  <c r="N36" i="38"/>
  <c r="N38" i="38" s="1"/>
  <c r="Q52" i="38"/>
  <c r="O15" i="38" s="1"/>
  <c r="C12" i="36"/>
  <c r="C15" i="36" s="1"/>
  <c r="C45" i="66" s="1"/>
  <c r="D12" i="36"/>
  <c r="D15" i="36" s="1"/>
  <c r="N12" i="36"/>
  <c r="N15" i="36" s="1"/>
  <c r="O12" i="36"/>
  <c r="O15" i="36" s="1"/>
  <c r="C16" i="35"/>
  <c r="D16" i="35"/>
  <c r="C31" i="35"/>
  <c r="D31" i="35"/>
  <c r="N31" i="35"/>
  <c r="N33" i="35" s="1"/>
  <c r="Q46" i="35"/>
  <c r="O12" i="35" s="1"/>
  <c r="C16" i="34"/>
  <c r="D16" i="34"/>
  <c r="N16" i="34"/>
  <c r="N37" i="34"/>
  <c r="C25" i="33"/>
  <c r="D25" i="33"/>
  <c r="C69" i="33"/>
  <c r="C11" i="32"/>
  <c r="C14" i="32" s="1"/>
  <c r="D11" i="32"/>
  <c r="D14" i="32" s="1"/>
  <c r="N11" i="32"/>
  <c r="N14" i="32" s="1"/>
  <c r="C16" i="31"/>
  <c r="C19" i="31" s="1"/>
  <c r="C39" i="66" s="1"/>
  <c r="D16" i="31"/>
  <c r="D19" i="31" s="1"/>
  <c r="D39" i="66" s="1"/>
  <c r="N16" i="31"/>
  <c r="N19" i="31" s="1"/>
  <c r="O19" i="31"/>
  <c r="D19" i="30"/>
  <c r="N19" i="30"/>
  <c r="C34" i="30"/>
  <c r="D34" i="30"/>
  <c r="N34" i="30"/>
  <c r="C10" i="29"/>
  <c r="N10" i="29"/>
  <c r="C21" i="29"/>
  <c r="D21" i="29"/>
  <c r="D23" i="29" s="1"/>
  <c r="N21" i="29"/>
  <c r="S108" i="66"/>
  <c r="U108" i="66"/>
  <c r="V108" i="66"/>
  <c r="S129" i="66"/>
  <c r="U129" i="66"/>
  <c r="V129" i="66"/>
  <c r="O131" i="66"/>
  <c r="R128" i="66"/>
  <c r="R129" i="66" s="1"/>
  <c r="R133" i="66" s="1"/>
  <c r="I7" i="2"/>
  <c r="P13" i="15"/>
  <c r="I18" i="53"/>
  <c r="I20" i="53" s="1"/>
  <c r="O18" i="41"/>
  <c r="E90" i="138"/>
  <c r="E79" i="138" s="1"/>
  <c r="E69" i="138" s="1"/>
  <c r="E59" i="138" s="1"/>
  <c r="E49" i="138" s="1"/>
  <c r="E39" i="138" s="1"/>
  <c r="E121" i="138"/>
  <c r="C87" i="138"/>
  <c r="C76" i="138" s="1"/>
  <c r="C66" i="138" s="1"/>
  <c r="C56" i="138" s="1"/>
  <c r="G87" i="138"/>
  <c r="G76" i="138" s="1"/>
  <c r="G66" i="138" s="1"/>
  <c r="G56" i="138" s="1"/>
  <c r="G118" i="138"/>
  <c r="C88" i="138"/>
  <c r="C77" i="138" s="1"/>
  <c r="C67" i="138" s="1"/>
  <c r="C57" i="138" s="1"/>
  <c r="G88" i="138"/>
  <c r="G77" i="138" s="1"/>
  <c r="G67" i="138" s="1"/>
  <c r="G57" i="138" s="1"/>
  <c r="G47" i="138" s="1"/>
  <c r="G37" i="138" s="1"/>
  <c r="G27" i="138" s="1"/>
  <c r="G17" i="138" s="1"/>
  <c r="G119" i="138"/>
  <c r="F90" i="138"/>
  <c r="F79" i="138" s="1"/>
  <c r="F69" i="138" s="1"/>
  <c r="F59" i="138" s="1"/>
  <c r="F49" i="138" s="1"/>
  <c r="F39" i="138" s="1"/>
  <c r="F29" i="138" s="1"/>
  <c r="F19" i="138" s="1"/>
  <c r="F121" i="138"/>
  <c r="H90" i="138"/>
  <c r="H79" i="138" s="1"/>
  <c r="H69" i="138" s="1"/>
  <c r="H59" i="138" s="1"/>
  <c r="H49" i="138" s="1"/>
  <c r="H39" i="138" s="1"/>
  <c r="H29" i="138" s="1"/>
  <c r="H19" i="138" s="1"/>
  <c r="H121" i="138"/>
  <c r="B88" i="138"/>
  <c r="B77" i="138" s="1"/>
  <c r="B67" i="138" s="1"/>
  <c r="B57" i="138" s="1"/>
  <c r="B47" i="138" s="1"/>
  <c r="B37" i="138" s="1"/>
  <c r="B27" i="138" s="1"/>
  <c r="B17" i="138" s="1"/>
  <c r="B119" i="138"/>
  <c r="E91" i="138"/>
  <c r="E80" i="138" s="1"/>
  <c r="E70" i="138" s="1"/>
  <c r="E60" i="138" s="1"/>
  <c r="E50" i="138" s="1"/>
  <c r="E40" i="138" s="1"/>
  <c r="E122" i="138"/>
  <c r="F118" i="138"/>
  <c r="H87" i="138"/>
  <c r="H76" i="138" s="1"/>
  <c r="H66" i="138" s="1"/>
  <c r="H56" i="138" s="1"/>
  <c r="H46" i="138" s="1"/>
  <c r="H36" i="138" s="1"/>
  <c r="H26" i="138" s="1"/>
  <c r="H16" i="138" s="1"/>
  <c r="L79" i="43" s="1"/>
  <c r="N79" i="43" s="1"/>
  <c r="H118" i="138"/>
  <c r="D88" i="138"/>
  <c r="D77" i="138" s="1"/>
  <c r="D67" i="138" s="1"/>
  <c r="D57" i="138" s="1"/>
  <c r="D47" i="138" s="1"/>
  <c r="D37" i="138" s="1"/>
  <c r="D27" i="138" s="1"/>
  <c r="D17" i="138" s="1"/>
  <c r="D119" i="138"/>
  <c r="H88" i="138"/>
  <c r="H77" i="138" s="1"/>
  <c r="H67" i="138" s="1"/>
  <c r="H57" i="138" s="1"/>
  <c r="H47" i="138" s="1"/>
  <c r="H37" i="138" s="1"/>
  <c r="H27" i="138" s="1"/>
  <c r="H17" i="138" s="1"/>
  <c r="H119" i="138"/>
  <c r="G90" i="138"/>
  <c r="G79" i="138" s="1"/>
  <c r="G69" i="138" s="1"/>
  <c r="G59" i="138" s="1"/>
  <c r="G49" i="138" s="1"/>
  <c r="G39" i="138" s="1"/>
  <c r="G29" i="138" s="1"/>
  <c r="G19" i="138" s="1"/>
  <c r="G121" i="138"/>
  <c r="F91" i="138"/>
  <c r="F80" i="138" s="1"/>
  <c r="F70" i="138" s="1"/>
  <c r="F60" i="138" s="1"/>
  <c r="F122" i="138"/>
  <c r="J159" i="141"/>
  <c r="J139" i="141" s="1"/>
  <c r="J118" i="141" s="1"/>
  <c r="J96" i="141" s="1"/>
  <c r="J74" i="141" s="1"/>
  <c r="J52" i="141" s="1"/>
  <c r="B160" i="141"/>
  <c r="B169" i="141" s="1"/>
  <c r="J188" i="141"/>
  <c r="F160" i="141"/>
  <c r="F140" i="141"/>
  <c r="F149" i="141" s="1"/>
  <c r="H160" i="141"/>
  <c r="F187" i="141"/>
  <c r="H187" i="141"/>
  <c r="R246" i="66"/>
  <c r="L59" i="26" s="1"/>
  <c r="F35" i="148"/>
  <c r="H35" i="148"/>
  <c r="S13" i="51"/>
  <c r="J35" i="148"/>
  <c r="U13" i="51"/>
  <c r="L35" i="148"/>
  <c r="W13" i="6" s="1"/>
  <c r="N35" i="148"/>
  <c r="Y13" i="6" s="1"/>
  <c r="Y13" i="51"/>
  <c r="P35" i="148"/>
  <c r="AA13" i="51"/>
  <c r="R35" i="148"/>
  <c r="AC13" i="51"/>
  <c r="T35" i="148"/>
  <c r="AE13" i="6" s="1"/>
  <c r="D36" i="148"/>
  <c r="F36" i="148"/>
  <c r="H36" i="148"/>
  <c r="S14" i="6" s="1"/>
  <c r="S14" i="51"/>
  <c r="W14" i="51"/>
  <c r="N36" i="148"/>
  <c r="Y14" i="6" s="1"/>
  <c r="Y14" i="51"/>
  <c r="P36" i="148"/>
  <c r="AA14" i="6"/>
  <c r="AA14" i="51"/>
  <c r="T36" i="148"/>
  <c r="AE14" i="6" s="1"/>
  <c r="AE14" i="51"/>
  <c r="D37" i="148"/>
  <c r="F37" i="148"/>
  <c r="U15" i="51"/>
  <c r="U16" i="51"/>
  <c r="L37" i="148"/>
  <c r="W15" i="6" s="1"/>
  <c r="W15" i="51"/>
  <c r="N37" i="148"/>
  <c r="Y15" i="6" s="1"/>
  <c r="Y15" i="51"/>
  <c r="P37" i="148"/>
  <c r="AA15" i="6" s="1"/>
  <c r="R37" i="148"/>
  <c r="AC15" i="6" s="1"/>
  <c r="AC16" i="51"/>
  <c r="T37" i="148"/>
  <c r="AE15" i="6" s="1"/>
  <c r="AE15" i="51"/>
  <c r="D38" i="148"/>
  <c r="F38" i="148"/>
  <c r="J38" i="148"/>
  <c r="U16" i="6"/>
  <c r="L38" i="148"/>
  <c r="W16" i="6" s="1"/>
  <c r="W16" i="51"/>
  <c r="R38" i="148"/>
  <c r="AC16" i="6" s="1"/>
  <c r="T38" i="148"/>
  <c r="AE16" i="6" s="1"/>
  <c r="AE16" i="51"/>
  <c r="D42" i="148"/>
  <c r="F42" i="148"/>
  <c r="H42" i="148"/>
  <c r="S37" i="6" s="1"/>
  <c r="S37" i="51"/>
  <c r="J42" i="148"/>
  <c r="U37" i="51"/>
  <c r="W37" i="51"/>
  <c r="N42" i="148"/>
  <c r="Y37" i="51"/>
  <c r="P42" i="148"/>
  <c r="AA37" i="51"/>
  <c r="R42" i="148"/>
  <c r="AC37" i="51"/>
  <c r="AE37" i="51"/>
  <c r="D43" i="148"/>
  <c r="D49" i="148" s="1"/>
  <c r="F43" i="148"/>
  <c r="H43" i="148"/>
  <c r="S38" i="6" s="1"/>
  <c r="S38" i="51"/>
  <c r="W38" i="51"/>
  <c r="N43" i="148"/>
  <c r="Y38" i="6"/>
  <c r="Y38" i="51"/>
  <c r="P43" i="148"/>
  <c r="AA38" i="6" s="1"/>
  <c r="AA38" i="51"/>
  <c r="T43" i="148"/>
  <c r="AE38" i="6" s="1"/>
  <c r="AE38" i="51"/>
  <c r="D44" i="148"/>
  <c r="F44" i="148"/>
  <c r="S39" i="51"/>
  <c r="U39" i="6"/>
  <c r="U39" i="51"/>
  <c r="L44" i="148"/>
  <c r="W39" i="6" s="1"/>
  <c r="W39" i="51"/>
  <c r="N44" i="148"/>
  <c r="Y39" i="6" s="1"/>
  <c r="Y39" i="51"/>
  <c r="AA39" i="51"/>
  <c r="R44" i="148"/>
  <c r="AC39" i="6"/>
  <c r="T44" i="148"/>
  <c r="AE39" i="6" s="1"/>
  <c r="AE39" i="51"/>
  <c r="D45" i="148"/>
  <c r="H45" i="148"/>
  <c r="S40" i="6" s="1"/>
  <c r="S40" i="51"/>
  <c r="J45" i="148"/>
  <c r="U40" i="6" s="1"/>
  <c r="U40" i="51"/>
  <c r="L45" i="148"/>
  <c r="W40" i="6" s="1"/>
  <c r="W40" i="51"/>
  <c r="P45" i="148"/>
  <c r="AA40" i="6" s="1"/>
  <c r="AA40" i="51"/>
  <c r="R45" i="148"/>
  <c r="AC40" i="6" s="1"/>
  <c r="AC40" i="51"/>
  <c r="T45" i="148"/>
  <c r="AE40" i="6" s="1"/>
  <c r="AE40" i="51"/>
  <c r="F46" i="148"/>
  <c r="H46" i="148"/>
  <c r="S41" i="6" s="1"/>
  <c r="S41" i="51"/>
  <c r="J46" i="148"/>
  <c r="U41" i="6" s="1"/>
  <c r="U41" i="51"/>
  <c r="W41" i="51"/>
  <c r="N46" i="148"/>
  <c r="Y41" i="6" s="1"/>
  <c r="Y41" i="51"/>
  <c r="P46" i="148"/>
  <c r="AA41" i="6"/>
  <c r="AA41" i="51"/>
  <c r="R46" i="148"/>
  <c r="AC41" i="6" s="1"/>
  <c r="AC41" i="51"/>
  <c r="T46" i="148"/>
  <c r="AE41" i="6" s="1"/>
  <c r="F47" i="148"/>
  <c r="H47" i="148"/>
  <c r="S42" i="6" s="1"/>
  <c r="S42" i="51"/>
  <c r="U42" i="6"/>
  <c r="U42" i="51"/>
  <c r="L47" i="148"/>
  <c r="W42" i="6" s="1"/>
  <c r="N47" i="148"/>
  <c r="Y42" i="6" s="1"/>
  <c r="Y42" i="51"/>
  <c r="P47" i="148"/>
  <c r="AA42" i="6" s="1"/>
  <c r="AA42" i="51"/>
  <c r="R47" i="148"/>
  <c r="AC42" i="6"/>
  <c r="T47" i="148"/>
  <c r="AE42" i="6" s="1"/>
  <c r="V35" i="148"/>
  <c r="X35" i="148"/>
  <c r="AI13" i="6" s="1"/>
  <c r="AI13" i="51"/>
  <c r="Z35" i="148"/>
  <c r="Z39" i="148" s="1"/>
  <c r="AK13" i="51"/>
  <c r="AB35" i="148"/>
  <c r="AM13" i="51"/>
  <c r="V36" i="148"/>
  <c r="AG14" i="6" s="1"/>
  <c r="X36" i="148"/>
  <c r="AI14" i="6" s="1"/>
  <c r="AI14" i="51"/>
  <c r="Z36" i="148"/>
  <c r="AK14" i="6"/>
  <c r="AK14" i="51"/>
  <c r="AB36" i="148"/>
  <c r="AM14" i="51"/>
  <c r="V37" i="148"/>
  <c r="AG15" i="6" s="1"/>
  <c r="AG15" i="51"/>
  <c r="Z37" i="148"/>
  <c r="AK15" i="6" s="1"/>
  <c r="AK15" i="51"/>
  <c r="AB37" i="148"/>
  <c r="AM15" i="6" s="1"/>
  <c r="AM15" i="51"/>
  <c r="AG16" i="51"/>
  <c r="X38" i="148"/>
  <c r="AI16" i="6" s="1"/>
  <c r="AI16" i="51"/>
  <c r="Z38" i="148"/>
  <c r="AK16" i="6" s="1"/>
  <c r="AK16" i="51"/>
  <c r="AB38" i="148"/>
  <c r="AM16" i="6" s="1"/>
  <c r="AM16" i="51"/>
  <c r="V42" i="148"/>
  <c r="AG37" i="51"/>
  <c r="X42" i="148"/>
  <c r="AI37" i="51"/>
  <c r="Z42" i="148"/>
  <c r="AK37" i="51"/>
  <c r="AB42" i="148"/>
  <c r="AM37" i="51"/>
  <c r="V43" i="148"/>
  <c r="AG38" i="6" s="1"/>
  <c r="AG38" i="51"/>
  <c r="X43" i="148"/>
  <c r="AI38" i="51"/>
  <c r="Z43" i="148"/>
  <c r="AK38" i="6"/>
  <c r="AK38" i="51"/>
  <c r="AB43" i="148"/>
  <c r="AB49" i="148" s="1"/>
  <c r="AM38" i="6"/>
  <c r="AM38" i="51"/>
  <c r="X44" i="148"/>
  <c r="AI39" i="6" s="1"/>
  <c r="AI39" i="51"/>
  <c r="Z44" i="148"/>
  <c r="AK39" i="6"/>
  <c r="AK39" i="51"/>
  <c r="AB44" i="148"/>
  <c r="AM39" i="6" s="1"/>
  <c r="AM39" i="51"/>
  <c r="AG40" i="51"/>
  <c r="X45" i="148"/>
  <c r="AI40" i="6" s="1"/>
  <c r="AI40" i="51"/>
  <c r="Z45" i="148"/>
  <c r="AK40" i="6"/>
  <c r="AK40" i="51"/>
  <c r="AB45" i="148"/>
  <c r="AM40" i="6" s="1"/>
  <c r="AM40" i="51"/>
  <c r="AG41" i="51"/>
  <c r="X46" i="148"/>
  <c r="AI41" i="6" s="1"/>
  <c r="AI41" i="51"/>
  <c r="Z46" i="148"/>
  <c r="AK41" i="6" s="1"/>
  <c r="AK41" i="51"/>
  <c r="AB46" i="148"/>
  <c r="AM41" i="6" s="1"/>
  <c r="AM41" i="51"/>
  <c r="V47" i="148"/>
  <c r="AG42" i="6" s="1"/>
  <c r="AG42" i="51"/>
  <c r="X47" i="148"/>
  <c r="AI42" i="6" s="1"/>
  <c r="AI42" i="51"/>
  <c r="Z47" i="148"/>
  <c r="AK42" i="6" s="1"/>
  <c r="AK42" i="51"/>
  <c r="AB47" i="148"/>
  <c r="AM42" i="6"/>
  <c r="AM42" i="51"/>
  <c r="AD35" i="148"/>
  <c r="AF35" i="148"/>
  <c r="AQ13" i="51"/>
  <c r="AH35" i="148"/>
  <c r="AS13" i="6" s="1"/>
  <c r="AS13" i="51"/>
  <c r="AE36" i="148"/>
  <c r="AP14" i="6" s="1"/>
  <c r="AP14" i="51"/>
  <c r="AG36" i="148"/>
  <c r="AR14" i="6" s="1"/>
  <c r="AD37" i="148"/>
  <c r="AO15" i="6" s="1"/>
  <c r="AO15" i="51"/>
  <c r="AF37" i="148"/>
  <c r="AQ15" i="6" s="1"/>
  <c r="AQ15" i="51"/>
  <c r="AH37" i="148"/>
  <c r="AS15" i="6"/>
  <c r="AS15" i="51"/>
  <c r="AG38" i="148"/>
  <c r="AR16" i="6" s="1"/>
  <c r="AR16" i="51"/>
  <c r="AD24" i="148"/>
  <c r="AO37" i="51"/>
  <c r="AF24" i="148"/>
  <c r="AQ37" i="51"/>
  <c r="AE43" i="148"/>
  <c r="AP38" i="6" s="1"/>
  <c r="AP38" i="51"/>
  <c r="AG43" i="148"/>
  <c r="AR38" i="6" s="1"/>
  <c r="AR38" i="51"/>
  <c r="AD44" i="148"/>
  <c r="AO39" i="6" s="1"/>
  <c r="AO39" i="51"/>
  <c r="AH44" i="148"/>
  <c r="AS39" i="6" s="1"/>
  <c r="AS39" i="51"/>
  <c r="AE45" i="148"/>
  <c r="AP40" i="6" s="1"/>
  <c r="AP40" i="51"/>
  <c r="AG45" i="148"/>
  <c r="AR40" i="6" s="1"/>
  <c r="AR40" i="51"/>
  <c r="AO41" i="51"/>
  <c r="AF46" i="148"/>
  <c r="AQ41" i="6" s="1"/>
  <c r="AQ41" i="51"/>
  <c r="AH46" i="148"/>
  <c r="AS41" i="6"/>
  <c r="AS41" i="51"/>
  <c r="AE47" i="148"/>
  <c r="AP42" i="6" s="1"/>
  <c r="AP42" i="51"/>
  <c r="AG47" i="148"/>
  <c r="AR42" i="6" s="1"/>
  <c r="AR42" i="51"/>
  <c r="AI35" i="148"/>
  <c r="AT13" i="6"/>
  <c r="AT13" i="51"/>
  <c r="AI36" i="148"/>
  <c r="AT14" i="6" s="1"/>
  <c r="AT14" i="51"/>
  <c r="AI37" i="148"/>
  <c r="AT15" i="6" s="1"/>
  <c r="AT15" i="51"/>
  <c r="AI38" i="148"/>
  <c r="AT16" i="6" s="1"/>
  <c r="AT16" i="51"/>
  <c r="AI42" i="148"/>
  <c r="AT37" i="51"/>
  <c r="AI43" i="148"/>
  <c r="AT38" i="6" s="1"/>
  <c r="AT38" i="51"/>
  <c r="AI44" i="148"/>
  <c r="AT39" i="6" s="1"/>
  <c r="AT39" i="51"/>
  <c r="AI45" i="148"/>
  <c r="AT40" i="6"/>
  <c r="AT40" i="51"/>
  <c r="AI46" i="148"/>
  <c r="AT41" i="6" s="1"/>
  <c r="AT41" i="51"/>
  <c r="AI47" i="148"/>
  <c r="AT42" i="6" s="1"/>
  <c r="AT42" i="51"/>
  <c r="AF76" i="148"/>
  <c r="AH76" i="148"/>
  <c r="AE76" i="148"/>
  <c r="AG76" i="148"/>
  <c r="AI76" i="148"/>
  <c r="E35" i="148"/>
  <c r="E39" i="148" s="1"/>
  <c r="G35" i="148"/>
  <c r="R13" i="51"/>
  <c r="I35" i="148"/>
  <c r="T13" i="51"/>
  <c r="O13" i="51" s="1"/>
  <c r="K35" i="148"/>
  <c r="V13" i="51"/>
  <c r="M35" i="148"/>
  <c r="X13" i="6" s="1"/>
  <c r="X13" i="51"/>
  <c r="O35" i="148"/>
  <c r="Z13" i="51"/>
  <c r="Q35" i="148"/>
  <c r="AB13" i="51"/>
  <c r="S35" i="148"/>
  <c r="AD13" i="6" s="1"/>
  <c r="AD13" i="51"/>
  <c r="U35" i="148"/>
  <c r="U39" i="148" s="1"/>
  <c r="AF13" i="51"/>
  <c r="E36" i="148"/>
  <c r="G36" i="148"/>
  <c r="R14" i="6" s="1"/>
  <c r="R14" i="51"/>
  <c r="I36" i="148"/>
  <c r="T14" i="6" s="1"/>
  <c r="O14" i="6" s="1"/>
  <c r="T14" i="51"/>
  <c r="O14" i="51" s="1"/>
  <c r="K36" i="148"/>
  <c r="V14" i="6"/>
  <c r="V14" i="51"/>
  <c r="M36" i="148"/>
  <c r="X14" i="6"/>
  <c r="X14" i="51"/>
  <c r="O36" i="148"/>
  <c r="Z14" i="51"/>
  <c r="Q36" i="148"/>
  <c r="AB14" i="6" s="1"/>
  <c r="AB14" i="51"/>
  <c r="S36" i="148"/>
  <c r="U36" i="148"/>
  <c r="AF14" i="6"/>
  <c r="AF14" i="51"/>
  <c r="E37" i="148"/>
  <c r="G37" i="148"/>
  <c r="R15" i="6" s="1"/>
  <c r="R15" i="51"/>
  <c r="K37" i="148"/>
  <c r="V15" i="6" s="1"/>
  <c r="V15" i="51"/>
  <c r="M37" i="148"/>
  <c r="X15" i="6" s="1"/>
  <c r="X15" i="51"/>
  <c r="X16" i="51"/>
  <c r="O37" i="148"/>
  <c r="Z15" i="6" s="1"/>
  <c r="Z15" i="51"/>
  <c r="S37" i="148"/>
  <c r="AD15" i="6" s="1"/>
  <c r="AD15" i="51"/>
  <c r="U37" i="148"/>
  <c r="AF15" i="6" s="1"/>
  <c r="AF15" i="51"/>
  <c r="E38" i="148"/>
  <c r="G38" i="148"/>
  <c r="R16" i="6" s="1"/>
  <c r="I38" i="148"/>
  <c r="T16" i="6" s="1"/>
  <c r="O16" i="6" s="1"/>
  <c r="T16" i="51"/>
  <c r="O16" i="51" s="1"/>
  <c r="K38" i="148"/>
  <c r="V16" i="6" s="1"/>
  <c r="V16" i="51"/>
  <c r="M38" i="148"/>
  <c r="X16" i="6" s="1"/>
  <c r="Q38" i="148"/>
  <c r="AB16" i="6"/>
  <c r="AB16" i="51"/>
  <c r="S38" i="148"/>
  <c r="AD16" i="6"/>
  <c r="AD16" i="51"/>
  <c r="U38" i="148"/>
  <c r="AF16" i="6"/>
  <c r="AF16" i="51"/>
  <c r="E42" i="148"/>
  <c r="G42" i="148"/>
  <c r="R37" i="51"/>
  <c r="I42" i="148"/>
  <c r="T37" i="51"/>
  <c r="O37" i="51" s="1"/>
  <c r="K42" i="148"/>
  <c r="V37" i="6"/>
  <c r="V37" i="51"/>
  <c r="M42" i="148"/>
  <c r="O42" i="148"/>
  <c r="Z37" i="51"/>
  <c r="Q42" i="148"/>
  <c r="AB37" i="6" s="1"/>
  <c r="AB37" i="51"/>
  <c r="S42" i="148"/>
  <c r="AD37" i="6" s="1"/>
  <c r="AD37" i="51"/>
  <c r="U42" i="148"/>
  <c r="E43" i="148"/>
  <c r="G43" i="148"/>
  <c r="R38" i="6"/>
  <c r="R38" i="51"/>
  <c r="I43" i="148"/>
  <c r="T38" i="6" s="1"/>
  <c r="O38" i="6" s="1"/>
  <c r="T38" i="51"/>
  <c r="K43" i="148"/>
  <c r="V38" i="6" s="1"/>
  <c r="M43" i="148"/>
  <c r="X38" i="6"/>
  <c r="X38" i="51"/>
  <c r="X39" i="51"/>
  <c r="X40" i="51"/>
  <c r="X42" i="51"/>
  <c r="O43" i="148"/>
  <c r="Z38" i="6"/>
  <c r="Z38" i="51"/>
  <c r="Q43" i="148"/>
  <c r="AB38" i="6" s="1"/>
  <c r="AB38" i="51"/>
  <c r="U43" i="148"/>
  <c r="AF38" i="6" s="1"/>
  <c r="AF38" i="51"/>
  <c r="E44" i="148"/>
  <c r="G44" i="148"/>
  <c r="R39" i="6" s="1"/>
  <c r="R39" i="51"/>
  <c r="K44" i="148"/>
  <c r="V39" i="6" s="1"/>
  <c r="V39" i="51"/>
  <c r="M44" i="148"/>
  <c r="X39" i="6" s="1"/>
  <c r="O44" i="148"/>
  <c r="Z39" i="6"/>
  <c r="Z39" i="51"/>
  <c r="Q44" i="148"/>
  <c r="AB39" i="6" s="1"/>
  <c r="S44" i="148"/>
  <c r="AD39" i="6" s="1"/>
  <c r="AD39" i="51"/>
  <c r="U44" i="148"/>
  <c r="AF39" i="6" s="1"/>
  <c r="AF39" i="51"/>
  <c r="E45" i="148"/>
  <c r="G45" i="148"/>
  <c r="R40" i="6" s="1"/>
  <c r="R40" i="51"/>
  <c r="I45" i="148"/>
  <c r="T40" i="6" s="1"/>
  <c r="O40" i="6" s="1"/>
  <c r="T40" i="51"/>
  <c r="O40" i="51" s="1"/>
  <c r="K45" i="148"/>
  <c r="V40" i="6" s="1"/>
  <c r="V40" i="51"/>
  <c r="M45" i="148"/>
  <c r="X40" i="6" s="1"/>
  <c r="Z40" i="51"/>
  <c r="Q45" i="148"/>
  <c r="AB40" i="6" s="1"/>
  <c r="AB40" i="51"/>
  <c r="S45" i="148"/>
  <c r="AD40" i="6" s="1"/>
  <c r="AD40" i="51"/>
  <c r="U45" i="148"/>
  <c r="AF40" i="6" s="1"/>
  <c r="AF40" i="51"/>
  <c r="E46" i="148"/>
  <c r="G46" i="148"/>
  <c r="R41" i="51"/>
  <c r="I46" i="148"/>
  <c r="T41" i="6" s="1"/>
  <c r="O41" i="6" s="1"/>
  <c r="T41" i="51"/>
  <c r="O41" i="51" s="1"/>
  <c r="K46" i="148"/>
  <c r="V41" i="6" s="1"/>
  <c r="V41" i="51"/>
  <c r="O46" i="148"/>
  <c r="Z41" i="51"/>
  <c r="Q46" i="148"/>
  <c r="AB41" i="6" s="1"/>
  <c r="AB41" i="51"/>
  <c r="S46" i="148"/>
  <c r="AD41" i="6" s="1"/>
  <c r="AD41" i="51"/>
  <c r="U46" i="148"/>
  <c r="AF41" i="6" s="1"/>
  <c r="E47" i="148"/>
  <c r="G47" i="148"/>
  <c r="R42" i="6"/>
  <c r="R42" i="51"/>
  <c r="I47" i="148"/>
  <c r="T42" i="6" s="1"/>
  <c r="O42" i="6" s="1"/>
  <c r="T42" i="51"/>
  <c r="O42" i="51" s="1"/>
  <c r="K47" i="148"/>
  <c r="V42" i="6" s="1"/>
  <c r="M47" i="148"/>
  <c r="X42" i="6"/>
  <c r="O47" i="148"/>
  <c r="Z42" i="6" s="1"/>
  <c r="Z42" i="51"/>
  <c r="Q47" i="148"/>
  <c r="AB42" i="6" s="1"/>
  <c r="AB42" i="51"/>
  <c r="S47" i="148"/>
  <c r="AD42" i="6" s="1"/>
  <c r="AD42" i="51"/>
  <c r="U47" i="148"/>
  <c r="AF42" i="6"/>
  <c r="AF42" i="51"/>
  <c r="AH14" i="51"/>
  <c r="AH16" i="51"/>
  <c r="Y35" i="148"/>
  <c r="AJ13" i="6" s="1"/>
  <c r="AJ13" i="51"/>
  <c r="AJ14" i="51"/>
  <c r="AJ15" i="51"/>
  <c r="AJ16" i="51"/>
  <c r="AA35" i="148"/>
  <c r="AL13" i="6" s="1"/>
  <c r="AL13" i="51"/>
  <c r="AL14" i="51"/>
  <c r="AL15" i="51"/>
  <c r="AL16" i="51"/>
  <c r="AC35" i="148"/>
  <c r="AN13" i="51"/>
  <c r="W36" i="148"/>
  <c r="AH14" i="6" s="1"/>
  <c r="Y36" i="148"/>
  <c r="AJ14" i="6" s="1"/>
  <c r="AA36" i="148"/>
  <c r="AL14" i="6" s="1"/>
  <c r="AC36" i="148"/>
  <c r="AN14" i="6" s="1"/>
  <c r="AN14" i="51"/>
  <c r="Y37" i="148"/>
  <c r="AA37" i="148"/>
  <c r="AL15" i="6"/>
  <c r="AC37" i="148"/>
  <c r="AN15" i="51"/>
  <c r="Y38" i="148"/>
  <c r="AJ16" i="6" s="1"/>
  <c r="AA38" i="148"/>
  <c r="AL16" i="6" s="1"/>
  <c r="AC38" i="148"/>
  <c r="AN16" i="6" s="1"/>
  <c r="AN16" i="51"/>
  <c r="W42" i="148"/>
  <c r="AH37" i="6" s="1"/>
  <c r="AH40" i="51"/>
  <c r="AH42" i="51"/>
  <c r="Y42" i="148"/>
  <c r="AJ37" i="6" s="1"/>
  <c r="AJ37" i="51"/>
  <c r="AJ38" i="51"/>
  <c r="AJ39" i="51"/>
  <c r="AJ40" i="51"/>
  <c r="AJ41" i="51"/>
  <c r="AJ42" i="51"/>
  <c r="AA42" i="148"/>
  <c r="AL37" i="6" s="1"/>
  <c r="AL37" i="51"/>
  <c r="AL38" i="51"/>
  <c r="AL39" i="51"/>
  <c r="AL40" i="51"/>
  <c r="AL41" i="51"/>
  <c r="AL42" i="51"/>
  <c r="AC42" i="148"/>
  <c r="AN37" i="6" s="1"/>
  <c r="AN37" i="51"/>
  <c r="W43" i="148"/>
  <c r="AH38" i="6" s="1"/>
  <c r="Y43" i="148"/>
  <c r="AJ38" i="6" s="1"/>
  <c r="AA43" i="148"/>
  <c r="AL38" i="6" s="1"/>
  <c r="AC43" i="148"/>
  <c r="AN38" i="51"/>
  <c r="W44" i="148"/>
  <c r="AH39" i="6" s="1"/>
  <c r="Y44" i="148"/>
  <c r="AJ39" i="6"/>
  <c r="AA44" i="148"/>
  <c r="AC44" i="148"/>
  <c r="AN39" i="6" s="1"/>
  <c r="AN39" i="51"/>
  <c r="Y45" i="148"/>
  <c r="AJ40" i="6"/>
  <c r="AA45" i="148"/>
  <c r="AL40" i="6" s="1"/>
  <c r="AC45" i="148"/>
  <c r="AN40" i="6"/>
  <c r="AN40" i="51"/>
  <c r="W46" i="148"/>
  <c r="AH41" i="6" s="1"/>
  <c r="Y46" i="148"/>
  <c r="AJ41" i="6" s="1"/>
  <c r="AA46" i="148"/>
  <c r="AL41" i="6" s="1"/>
  <c r="AC46" i="148"/>
  <c r="AN41" i="6" s="1"/>
  <c r="AN41" i="51"/>
  <c r="Y47" i="148"/>
  <c r="AJ42" i="6" s="1"/>
  <c r="AA47" i="148"/>
  <c r="AL42" i="6" s="1"/>
  <c r="AC47" i="148"/>
  <c r="AN42" i="6" s="1"/>
  <c r="AN42" i="51"/>
  <c r="AD36" i="148"/>
  <c r="AO14" i="6" s="1"/>
  <c r="AO14" i="51"/>
  <c r="AQ16" i="51"/>
  <c r="AH36" i="148"/>
  <c r="AS14" i="6"/>
  <c r="AS14" i="51"/>
  <c r="AE37" i="148"/>
  <c r="AP15" i="6" s="1"/>
  <c r="AP15" i="51"/>
  <c r="AG37" i="148"/>
  <c r="AR15" i="6" s="1"/>
  <c r="AR15" i="51"/>
  <c r="AD38" i="148"/>
  <c r="AO16" i="6" s="1"/>
  <c r="AO16" i="51"/>
  <c r="AF38" i="148"/>
  <c r="AQ16" i="6"/>
  <c r="AQ13" i="6"/>
  <c r="AH38" i="148"/>
  <c r="AS16" i="6" s="1"/>
  <c r="AS16" i="51"/>
  <c r="AE42" i="148"/>
  <c r="AP37" i="6" s="1"/>
  <c r="AP37" i="51"/>
  <c r="AG42" i="148"/>
  <c r="AR37" i="6"/>
  <c r="AR37" i="51"/>
  <c r="AR39" i="51"/>
  <c r="AR41" i="51"/>
  <c r="AD43" i="148"/>
  <c r="AO38" i="6" s="1"/>
  <c r="AO38" i="51"/>
  <c r="AF43" i="148"/>
  <c r="AQ38" i="6"/>
  <c r="AQ38" i="51"/>
  <c r="AH43" i="148"/>
  <c r="AS38" i="6" s="1"/>
  <c r="AS38" i="51"/>
  <c r="AP39" i="51"/>
  <c r="AG44" i="148"/>
  <c r="AR39" i="6" s="1"/>
  <c r="AD45" i="148"/>
  <c r="AO40" i="6"/>
  <c r="AO40" i="51"/>
  <c r="AF45" i="148"/>
  <c r="AQ40" i="6" s="1"/>
  <c r="AQ40" i="51"/>
  <c r="AS40" i="51"/>
  <c r="AE46" i="148"/>
  <c r="AP41" i="6" s="1"/>
  <c r="AP41" i="51"/>
  <c r="AG46" i="148"/>
  <c r="AR41" i="6" s="1"/>
  <c r="AD47" i="148"/>
  <c r="AO42" i="6" s="1"/>
  <c r="AO42" i="51"/>
  <c r="AH47" i="148"/>
  <c r="AS42" i="6" s="1"/>
  <c r="AS42" i="51"/>
  <c r="AJ35" i="148"/>
  <c r="AU13" i="51"/>
  <c r="AJ37" i="148"/>
  <c r="AU15" i="6" s="1"/>
  <c r="AU15" i="51"/>
  <c r="AJ38" i="148"/>
  <c r="AU16" i="6"/>
  <c r="AU16" i="51"/>
  <c r="AJ42" i="148"/>
  <c r="AU37" i="51"/>
  <c r="AU38" i="51"/>
  <c r="AJ44" i="148"/>
  <c r="AU39" i="6"/>
  <c r="AU39" i="51"/>
  <c r="AJ45" i="148"/>
  <c r="AU40" i="6" s="1"/>
  <c r="AU40" i="51"/>
  <c r="AJ46" i="148"/>
  <c r="AU41" i="6" s="1"/>
  <c r="AU41" i="51"/>
  <c r="AU42" i="6"/>
  <c r="AU42" i="51"/>
  <c r="AJ76" i="148"/>
  <c r="AC76" i="148"/>
  <c r="AJ14" i="148"/>
  <c r="AI14" i="148"/>
  <c r="AI24" i="148"/>
  <c r="AI26" i="148" s="1"/>
  <c r="AI78" i="148" s="1"/>
  <c r="AD14" i="148"/>
  <c r="AD26" i="148" s="1"/>
  <c r="AD78" i="148" s="1"/>
  <c r="AH14" i="148"/>
  <c r="AG24" i="148"/>
  <c r="AE35" i="148"/>
  <c r="AP13" i="6"/>
  <c r="AG35" i="148"/>
  <c r="AR13" i="6" s="1"/>
  <c r="AD42" i="148"/>
  <c r="AO37" i="6" s="1"/>
  <c r="AF42" i="148"/>
  <c r="AQ37" i="6" s="1"/>
  <c r="AB76" i="148"/>
  <c r="AA76" i="148"/>
  <c r="Z76" i="148"/>
  <c r="Y76" i="148"/>
  <c r="X76" i="148"/>
  <c r="V76" i="148"/>
  <c r="Y14" i="148"/>
  <c r="AA14" i="148"/>
  <c r="AC14" i="148"/>
  <c r="Y24" i="148"/>
  <c r="AA24" i="148"/>
  <c r="AC24" i="148"/>
  <c r="AC26" i="148" s="1"/>
  <c r="AC78" i="148" s="1"/>
  <c r="X14" i="148"/>
  <c r="Z14" i="148"/>
  <c r="AB14" i="148"/>
  <c r="X24" i="148"/>
  <c r="Z24" i="148"/>
  <c r="AB24" i="148"/>
  <c r="E76" i="148"/>
  <c r="G76" i="148"/>
  <c r="K76" i="148"/>
  <c r="M76" i="148"/>
  <c r="S76" i="148"/>
  <c r="U76" i="148"/>
  <c r="D76" i="148"/>
  <c r="F76" i="148"/>
  <c r="H76" i="148"/>
  <c r="J76" i="148"/>
  <c r="L76" i="148"/>
  <c r="R76" i="148"/>
  <c r="T76" i="148"/>
  <c r="E14" i="148"/>
  <c r="G14" i="148"/>
  <c r="K14" i="148"/>
  <c r="S14" i="148"/>
  <c r="E24" i="148"/>
  <c r="E26" i="148" s="1"/>
  <c r="E78" i="148" s="1"/>
  <c r="G24" i="148"/>
  <c r="I24" i="148"/>
  <c r="Q24" i="148"/>
  <c r="U24" i="148"/>
  <c r="D14" i="148"/>
  <c r="N14" i="148"/>
  <c r="R14" i="148"/>
  <c r="T14" i="148"/>
  <c r="D24" i="148"/>
  <c r="D26" i="148" s="1"/>
  <c r="D78" i="148" s="1"/>
  <c r="L24" i="148"/>
  <c r="P24" i="148"/>
  <c r="R24" i="148"/>
  <c r="T24" i="148"/>
  <c r="AU37" i="6"/>
  <c r="AU13" i="6"/>
  <c r="AN13" i="6"/>
  <c r="AF37" i="6"/>
  <c r="AB13" i="6"/>
  <c r="Z13" i="6"/>
  <c r="X37" i="6"/>
  <c r="T37" i="6"/>
  <c r="O37" i="6" s="1"/>
  <c r="T13" i="6"/>
  <c r="O13" i="6" s="1"/>
  <c r="R37" i="6"/>
  <c r="AT37" i="6"/>
  <c r="AM37" i="6"/>
  <c r="Z49" i="148"/>
  <c r="AK37" i="6"/>
  <c r="AI37" i="6"/>
  <c r="AM13" i="6"/>
  <c r="AK13" i="6"/>
  <c r="AG13" i="6"/>
  <c r="AE37" i="6"/>
  <c r="AC37" i="6"/>
  <c r="AA37" i="6"/>
  <c r="AA13" i="6"/>
  <c r="L49" i="148"/>
  <c r="U37" i="6"/>
  <c r="AC13" i="6"/>
  <c r="U13" i="6"/>
  <c r="C64" i="148"/>
  <c r="C74" i="148"/>
  <c r="C76" i="148" s="1"/>
  <c r="E27" i="33"/>
  <c r="E41" i="66" s="1"/>
  <c r="I41" i="87"/>
  <c r="I20" i="18"/>
  <c r="E16" i="46"/>
  <c r="E62" i="66" s="1"/>
  <c r="E27" i="22"/>
  <c r="O23" i="77"/>
  <c r="M47" i="66" s="1"/>
  <c r="S246" i="66"/>
  <c r="F148" i="141"/>
  <c r="F168" i="141"/>
  <c r="H169" i="141"/>
  <c r="K169" i="141"/>
  <c r="D187" i="141"/>
  <c r="K188" i="141"/>
  <c r="E169" i="141"/>
  <c r="S23" i="66"/>
  <c r="S28" i="66" s="1"/>
  <c r="S252" i="66" s="1"/>
  <c r="C20" i="143"/>
  <c r="E187" i="141"/>
  <c r="K187" i="141"/>
  <c r="F22" i="144"/>
  <c r="P11" i="33"/>
  <c r="N84" i="15"/>
  <c r="D82" i="137" s="1"/>
  <c r="N87" i="15"/>
  <c r="D85" i="137" s="1"/>
  <c r="G170" i="141"/>
  <c r="G141" i="141"/>
  <c r="G120" i="141" s="1"/>
  <c r="B142" i="141"/>
  <c r="B121" i="141" s="1"/>
  <c r="B100" i="141" s="1"/>
  <c r="H170" i="141"/>
  <c r="G149" i="141"/>
  <c r="G168" i="141"/>
  <c r="G169" i="141"/>
  <c r="B168" i="141"/>
  <c r="F169" i="141"/>
  <c r="I160" i="141"/>
  <c r="I140" i="141" s="1"/>
  <c r="I119" i="141" s="1"/>
  <c r="K170" i="141"/>
  <c r="K141" i="141"/>
  <c r="K120" i="141" s="1"/>
  <c r="H168" i="141"/>
  <c r="H140" i="141"/>
  <c r="H119" i="141" s="1"/>
  <c r="H137" i="141"/>
  <c r="H116" i="141" s="1"/>
  <c r="H94" i="141" s="1"/>
  <c r="H72" i="141" s="1"/>
  <c r="H50" i="141" s="1"/>
  <c r="K139" i="141"/>
  <c r="K118" i="141" s="1"/>
  <c r="K96" i="141" s="1"/>
  <c r="K74" i="141" s="1"/>
  <c r="F141" i="141"/>
  <c r="F120" i="141" s="1"/>
  <c r="F98" i="141" s="1"/>
  <c r="F76" i="141" s="1"/>
  <c r="C160" i="141"/>
  <c r="C169" i="141" s="1"/>
  <c r="E135" i="141"/>
  <c r="E114" i="141" s="1"/>
  <c r="E92" i="141" s="1"/>
  <c r="E70" i="141" s="1"/>
  <c r="E48" i="141" s="1"/>
  <c r="F139" i="141"/>
  <c r="F118" i="141" s="1"/>
  <c r="F96" i="141" s="1"/>
  <c r="F74" i="141" s="1"/>
  <c r="F52" i="141" s="1"/>
  <c r="K140" i="141"/>
  <c r="J170" i="141"/>
  <c r="J141" i="141"/>
  <c r="J120" i="141" s="1"/>
  <c r="I39" i="8"/>
  <c r="N26" i="9"/>
  <c r="I34" i="44"/>
  <c r="C19" i="13"/>
  <c r="C11" i="15"/>
  <c r="I22" i="54"/>
  <c r="I19" i="86"/>
  <c r="I15" i="10"/>
  <c r="I17" i="7"/>
  <c r="E17" i="7"/>
  <c r="E33" i="35"/>
  <c r="C26" i="149"/>
  <c r="E25" i="2"/>
  <c r="D11" i="15"/>
  <c r="D9" i="15"/>
  <c r="P12" i="18"/>
  <c r="P12" i="56"/>
  <c r="P19" i="30"/>
  <c r="P18" i="38"/>
  <c r="T49" i="148"/>
  <c r="AI39" i="148"/>
  <c r="K49" i="148"/>
  <c r="Z37" i="6"/>
  <c r="N82" i="15"/>
  <c r="N83" i="15"/>
  <c r="D80" i="137" s="1"/>
  <c r="G148" i="141"/>
  <c r="I168" i="141"/>
  <c r="I169" i="141"/>
  <c r="C140" i="141"/>
  <c r="C119" i="141" s="1"/>
  <c r="K150" i="141"/>
  <c r="P11" i="9"/>
  <c r="O41" i="87"/>
  <c r="P15" i="24"/>
  <c r="P19" i="60"/>
  <c r="H149" i="141"/>
  <c r="H148" i="141"/>
  <c r="P13" i="49"/>
  <c r="P15" i="11"/>
  <c r="P16" i="35"/>
  <c r="P13" i="40"/>
  <c r="P13" i="23"/>
  <c r="P9" i="15"/>
  <c r="P16" i="17"/>
  <c r="N26" i="60" l="1"/>
  <c r="E30" i="93"/>
  <c r="E22" i="54"/>
  <c r="M104" i="66"/>
  <c r="P20" i="54"/>
  <c r="N104" i="66" s="1"/>
  <c r="O31" i="51"/>
  <c r="C68" i="143" s="1"/>
  <c r="D68" i="143" s="1"/>
  <c r="O56" i="51"/>
  <c r="N26" i="149"/>
  <c r="Q11" i="13"/>
  <c r="Q12" i="13" s="1"/>
  <c r="F84" i="26"/>
  <c r="W29" i="6"/>
  <c r="M50" i="66"/>
  <c r="M65" i="66"/>
  <c r="D24" i="56"/>
  <c r="L28" i="7"/>
  <c r="M28" i="7" s="1"/>
  <c r="N28" i="7" s="1"/>
  <c r="M25" i="7"/>
  <c r="N25" i="7"/>
  <c r="D13" i="23"/>
  <c r="D29" i="49"/>
  <c r="D26" i="9"/>
  <c r="D83" i="66" s="1"/>
  <c r="N19" i="13"/>
  <c r="M52" i="66"/>
  <c r="L16" i="66"/>
  <c r="L28" i="66" s="1"/>
  <c r="L252" i="66" s="1"/>
  <c r="M16" i="66"/>
  <c r="M39" i="66"/>
  <c r="C64" i="51"/>
  <c r="G13" i="2"/>
  <c r="D51" i="148"/>
  <c r="D79" i="148" s="1"/>
  <c r="AC14" i="6"/>
  <c r="R39" i="148"/>
  <c r="D80" i="148"/>
  <c r="D82" i="148" s="1"/>
  <c r="H35" i="141"/>
  <c r="C34" i="141"/>
  <c r="N82" i="43"/>
  <c r="B87" i="138"/>
  <c r="B76" i="138" s="1"/>
  <c r="B66" i="138" s="1"/>
  <c r="B56" i="138" s="1"/>
  <c r="B46" i="138" s="1"/>
  <c r="B36" i="138" s="1"/>
  <c r="B26" i="138" s="1"/>
  <c r="B16" i="138" s="1"/>
  <c r="C40" i="66"/>
  <c r="C27" i="141"/>
  <c r="E34" i="141"/>
  <c r="D36" i="141"/>
  <c r="J36" i="141"/>
  <c r="I128" i="66"/>
  <c r="I19" i="13"/>
  <c r="E128" i="66"/>
  <c r="E19" i="13"/>
  <c r="C38" i="148"/>
  <c r="C14" i="148"/>
  <c r="L14" i="148"/>
  <c r="L26" i="148" s="1"/>
  <c r="L78" i="148" s="1"/>
  <c r="L80" i="148" s="1"/>
  <c r="L82" i="148" s="1"/>
  <c r="W13" i="51"/>
  <c r="W31" i="51" s="1"/>
  <c r="J36" i="148"/>
  <c r="J14" i="148"/>
  <c r="H37" i="148"/>
  <c r="S15" i="6" s="1"/>
  <c r="H14" i="148"/>
  <c r="J43" i="148"/>
  <c r="J24" i="148"/>
  <c r="J26" i="148" s="1"/>
  <c r="J78" i="148" s="1"/>
  <c r="AC38" i="6"/>
  <c r="AC56" i="6" s="1"/>
  <c r="R49" i="148"/>
  <c r="R51" i="148" s="1"/>
  <c r="R79" i="148" s="1"/>
  <c r="R80" i="148" s="1"/>
  <c r="R82" i="148" s="1"/>
  <c r="H44" i="148"/>
  <c r="H24" i="148"/>
  <c r="H26" i="148" s="1"/>
  <c r="H78" i="148" s="1"/>
  <c r="F26" i="148"/>
  <c r="F78" i="148" s="1"/>
  <c r="N45" i="148"/>
  <c r="Y40" i="6" s="1"/>
  <c r="N24" i="148"/>
  <c r="AG13" i="51"/>
  <c r="V14" i="148"/>
  <c r="V26" i="148" s="1"/>
  <c r="V78" i="148" s="1"/>
  <c r="V44" i="148"/>
  <c r="AG39" i="6" s="1"/>
  <c r="AG39" i="51"/>
  <c r="AQ14" i="51"/>
  <c r="AF36" i="148"/>
  <c r="AF14" i="148"/>
  <c r="AF26" i="148" s="1"/>
  <c r="AF78" i="148" s="1"/>
  <c r="AE44" i="148"/>
  <c r="AP39" i="6" s="1"/>
  <c r="AE24" i="148"/>
  <c r="AF47" i="148"/>
  <c r="AQ42" i="6" s="1"/>
  <c r="AQ42" i="51"/>
  <c r="AU14" i="51"/>
  <c r="AJ36" i="148"/>
  <c r="AJ43" i="148"/>
  <c r="AJ24" i="148"/>
  <c r="E119" i="138"/>
  <c r="E88" i="138"/>
  <c r="E77" i="138" s="1"/>
  <c r="E67" i="138" s="1"/>
  <c r="E57" i="138" s="1"/>
  <c r="G122" i="138"/>
  <c r="G91" i="138"/>
  <c r="G80" i="138" s="1"/>
  <c r="G70" i="138" s="1"/>
  <c r="G60" i="138" s="1"/>
  <c r="J140" i="141"/>
  <c r="J149" i="141" s="1"/>
  <c r="J169" i="141"/>
  <c r="J168" i="141"/>
  <c r="AM14" i="6"/>
  <c r="AB39" i="148"/>
  <c r="AB51" i="148" s="1"/>
  <c r="AB79" i="148" s="1"/>
  <c r="D128" i="66"/>
  <c r="D129" i="66" s="1"/>
  <c r="D19" i="13"/>
  <c r="C100" i="66"/>
  <c r="F26" i="141"/>
  <c r="E29" i="141"/>
  <c r="F34" i="141"/>
  <c r="E36" i="141"/>
  <c r="C24" i="148"/>
  <c r="C42" i="148"/>
  <c r="C49" i="148" s="1"/>
  <c r="I37" i="148"/>
  <c r="T15" i="51"/>
  <c r="O15" i="51" s="1"/>
  <c r="Q14" i="148"/>
  <c r="Q26" i="148" s="1"/>
  <c r="Q78" i="148" s="1"/>
  <c r="Q37" i="148"/>
  <c r="AB15" i="6" s="1"/>
  <c r="AB29" i="6" s="1"/>
  <c r="AB15" i="51"/>
  <c r="O38" i="148"/>
  <c r="Z16" i="6" s="1"/>
  <c r="Z16" i="51"/>
  <c r="Z31" i="51" s="1"/>
  <c r="O14" i="148"/>
  <c r="X37" i="51"/>
  <c r="M24" i="148"/>
  <c r="V38" i="51"/>
  <c r="V56" i="51" s="1"/>
  <c r="K24" i="148"/>
  <c r="K26" i="148" s="1"/>
  <c r="K78" i="148" s="1"/>
  <c r="AD38" i="51"/>
  <c r="S24" i="148"/>
  <c r="S26" i="148" s="1"/>
  <c r="S78" i="148" s="1"/>
  <c r="S43" i="148"/>
  <c r="AD38" i="6" s="1"/>
  <c r="I44" i="148"/>
  <c r="T39" i="6" s="1"/>
  <c r="O39" i="6" s="1"/>
  <c r="T39" i="51"/>
  <c r="O39" i="51" s="1"/>
  <c r="G11" i="2" s="1"/>
  <c r="I11" i="2" s="1"/>
  <c r="O24" i="148"/>
  <c r="O45" i="148"/>
  <c r="Z40" i="6" s="1"/>
  <c r="X41" i="51"/>
  <c r="M46" i="148"/>
  <c r="AH13" i="51"/>
  <c r="W14" i="148"/>
  <c r="W35" i="148"/>
  <c r="W37" i="148"/>
  <c r="AH15" i="6" s="1"/>
  <c r="AH15" i="51"/>
  <c r="AH37" i="51"/>
  <c r="AH56" i="51" s="1"/>
  <c r="W24" i="148"/>
  <c r="W26" i="148" s="1"/>
  <c r="W78" i="148" s="1"/>
  <c r="W76" i="148"/>
  <c r="AG14" i="148"/>
  <c r="AG26" i="148" s="1"/>
  <c r="AG78" i="148" s="1"/>
  <c r="AR14" i="51"/>
  <c r="AR31" i="51" s="1"/>
  <c r="AP16" i="51"/>
  <c r="AP31" i="51" s="1"/>
  <c r="AP64" i="51" s="1"/>
  <c r="AE38" i="148"/>
  <c r="AP16" i="6" s="1"/>
  <c r="AE14" i="148"/>
  <c r="AS37" i="51"/>
  <c r="AS56" i="51" s="1"/>
  <c r="AH42" i="148"/>
  <c r="AH24" i="148"/>
  <c r="AF44" i="148"/>
  <c r="AQ39" i="51"/>
  <c r="D28" i="141"/>
  <c r="V39" i="148"/>
  <c r="O49" i="148"/>
  <c r="O51" i="148" s="1"/>
  <c r="O79" i="148" s="1"/>
  <c r="O80" i="148" s="1"/>
  <c r="O82" i="148" s="1"/>
  <c r="D90" i="66"/>
  <c r="L39" i="148"/>
  <c r="L51" i="148" s="1"/>
  <c r="L79" i="148" s="1"/>
  <c r="AI49" i="148"/>
  <c r="AI51" i="148" s="1"/>
  <c r="AI79" i="148" s="1"/>
  <c r="AI80" i="148" s="1"/>
  <c r="AI82" i="148" s="1"/>
  <c r="Z14" i="6"/>
  <c r="O39" i="148"/>
  <c r="AG37" i="6"/>
  <c r="AG56" i="6" s="1"/>
  <c r="Q49" i="148"/>
  <c r="AG39" i="148"/>
  <c r="E49" i="148"/>
  <c r="E51" i="148" s="1"/>
  <c r="E79" i="148" s="1"/>
  <c r="E80" i="148" s="1"/>
  <c r="E82" i="148" s="1"/>
  <c r="Z51" i="148"/>
  <c r="Z79" i="148" s="1"/>
  <c r="Y40" i="51"/>
  <c r="F45" i="148"/>
  <c r="F49" i="148" s="1"/>
  <c r="F51" i="148" s="1"/>
  <c r="F79" i="148" s="1"/>
  <c r="F80" i="148" s="1"/>
  <c r="F82" i="148" s="1"/>
  <c r="N38" i="148"/>
  <c r="Y16" i="6" s="1"/>
  <c r="Y29" i="6" s="1"/>
  <c r="AC14" i="51"/>
  <c r="AC31" i="51" s="1"/>
  <c r="U14" i="51"/>
  <c r="U31" i="51" s="1"/>
  <c r="S13" i="6"/>
  <c r="H39" i="148"/>
  <c r="G26" i="141"/>
  <c r="H120" i="141"/>
  <c r="H98" i="141" s="1"/>
  <c r="H150" i="141"/>
  <c r="E28" i="141"/>
  <c r="AE39" i="148"/>
  <c r="H91" i="138"/>
  <c r="H80" i="138" s="1"/>
  <c r="H70" i="138" s="1"/>
  <c r="H60" i="138" s="1"/>
  <c r="H50" i="138" s="1"/>
  <c r="H40" i="138" s="1"/>
  <c r="H30" i="138" s="1"/>
  <c r="H20" i="138" s="1"/>
  <c r="T51" i="148"/>
  <c r="T79" i="148" s="1"/>
  <c r="I29" i="49"/>
  <c r="K119" i="141"/>
  <c r="K128" i="141" s="1"/>
  <c r="K148" i="141"/>
  <c r="K149" i="141"/>
  <c r="AE49" i="148"/>
  <c r="T39" i="148"/>
  <c r="P49" i="148"/>
  <c r="M39" i="148"/>
  <c r="AF13" i="6"/>
  <c r="AF29" i="6" s="1"/>
  <c r="AB26" i="148"/>
  <c r="AB78" i="148" s="1"/>
  <c r="AB80" i="148" s="1"/>
  <c r="AB82" i="148" s="1"/>
  <c r="AN38" i="6"/>
  <c r="AC49" i="148"/>
  <c r="U38" i="51"/>
  <c r="U56" i="51" s="1"/>
  <c r="P39" i="148"/>
  <c r="F39" i="148"/>
  <c r="I12" i="45"/>
  <c r="I61" i="66" s="1"/>
  <c r="E27" i="141"/>
  <c r="I170" i="141"/>
  <c r="I141" i="141"/>
  <c r="I120" i="141" s="1"/>
  <c r="N49" i="148"/>
  <c r="L56" i="11"/>
  <c r="N56" i="11" s="1"/>
  <c r="D98" i="137" s="1"/>
  <c r="H27" i="141"/>
  <c r="AN15" i="6"/>
  <c r="AN29" i="6" s="1"/>
  <c r="AC39" i="148"/>
  <c r="C148" i="141"/>
  <c r="Y37" i="6"/>
  <c r="V13" i="6"/>
  <c r="K39" i="148"/>
  <c r="K51" i="148" s="1"/>
  <c r="K79" i="148" s="1"/>
  <c r="K80" i="148" s="1"/>
  <c r="K82" i="148" s="1"/>
  <c r="C168" i="141"/>
  <c r="L72" i="15"/>
  <c r="F30" i="141"/>
  <c r="R26" i="148"/>
  <c r="R78" i="148" s="1"/>
  <c r="G39" i="148"/>
  <c r="R13" i="6"/>
  <c r="AD39" i="148"/>
  <c r="AO13" i="6"/>
  <c r="AC38" i="51"/>
  <c r="AC56" i="51" s="1"/>
  <c r="E118" i="138"/>
  <c r="H29" i="141"/>
  <c r="E30" i="141"/>
  <c r="C188" i="141"/>
  <c r="C187" i="141"/>
  <c r="I188" i="141"/>
  <c r="I187" i="141"/>
  <c r="J26" i="141"/>
  <c r="I49" i="148"/>
  <c r="F88" i="138"/>
  <c r="F77" i="138" s="1"/>
  <c r="F67" i="138" s="1"/>
  <c r="F57" i="138" s="1"/>
  <c r="F47" i="138" s="1"/>
  <c r="F37" i="138" s="1"/>
  <c r="F27" i="138" s="1"/>
  <c r="F17" i="138" s="1"/>
  <c r="L75" i="43" s="1"/>
  <c r="N75" i="43" s="1"/>
  <c r="P75" i="43" s="1"/>
  <c r="D40" i="137" s="1"/>
  <c r="AA39" i="148"/>
  <c r="G49" i="148"/>
  <c r="G51" i="148" s="1"/>
  <c r="G79" i="148" s="1"/>
  <c r="AD14" i="6"/>
  <c r="AD29" i="6" s="1"/>
  <c r="S39" i="148"/>
  <c r="AA15" i="51"/>
  <c r="S15" i="51"/>
  <c r="S31" i="51" s="1"/>
  <c r="C55" i="17"/>
  <c r="D87" i="138"/>
  <c r="D76" i="138" s="1"/>
  <c r="D66" i="138" s="1"/>
  <c r="D56" i="138" s="1"/>
  <c r="D46" i="138" s="1"/>
  <c r="D36" i="138" s="1"/>
  <c r="D26" i="138" s="1"/>
  <c r="D118" i="138"/>
  <c r="J28" i="141"/>
  <c r="I29" i="141"/>
  <c r="D188" i="141"/>
  <c r="D160" i="141"/>
  <c r="AM29" i="6"/>
  <c r="X26" i="148"/>
  <c r="X78" i="148" s="1"/>
  <c r="AH26" i="148"/>
  <c r="AH78" i="148" s="1"/>
  <c r="AA16" i="51"/>
  <c r="S16" i="51"/>
  <c r="J30" i="141"/>
  <c r="D64" i="51"/>
  <c r="L49" i="34"/>
  <c r="F27" i="141"/>
  <c r="C28" i="141"/>
  <c r="I28" i="141"/>
  <c r="F29" i="141"/>
  <c r="D30" i="141"/>
  <c r="D34" i="141"/>
  <c r="J34" i="141"/>
  <c r="F35" i="141"/>
  <c r="C36" i="141"/>
  <c r="I36" i="141"/>
  <c r="E19" i="86"/>
  <c r="AA49" i="148"/>
  <c r="X49" i="148"/>
  <c r="G27" i="141"/>
  <c r="G29" i="141"/>
  <c r="G35" i="141"/>
  <c r="L63" i="11"/>
  <c r="H26" i="141"/>
  <c r="I27" i="141"/>
  <c r="F28" i="141"/>
  <c r="C29" i="141"/>
  <c r="G30" i="141"/>
  <c r="G34" i="141"/>
  <c r="C35" i="141"/>
  <c r="P68" i="43"/>
  <c r="D32" i="137" s="1"/>
  <c r="I35" i="141"/>
  <c r="F36" i="141"/>
  <c r="L62" i="11"/>
  <c r="N62" i="11" s="1"/>
  <c r="D104" i="137" s="1"/>
  <c r="E26" i="141"/>
  <c r="H28" i="141"/>
  <c r="AH39" i="148"/>
  <c r="B187" i="141"/>
  <c r="C26" i="141"/>
  <c r="D27" i="141"/>
  <c r="J27" i="141"/>
  <c r="G28" i="141"/>
  <c r="L37" i="60"/>
  <c r="D29" i="141"/>
  <c r="J29" i="141"/>
  <c r="D35" i="141"/>
  <c r="J35" i="141"/>
  <c r="G36" i="141"/>
  <c r="I26" i="141"/>
  <c r="L70" i="15"/>
  <c r="H30" i="141"/>
  <c r="N73" i="12"/>
  <c r="D117" i="137" s="1"/>
  <c r="H34" i="141"/>
  <c r="AA26" i="148"/>
  <c r="AA78" i="148" s="1"/>
  <c r="I29" i="2"/>
  <c r="C70" i="143" s="1"/>
  <c r="D70" i="143" s="1"/>
  <c r="D26" i="141"/>
  <c r="C30" i="141"/>
  <c r="I30" i="141"/>
  <c r="I34" i="141"/>
  <c r="E35" i="141"/>
  <c r="H36" i="141"/>
  <c r="C39" i="148"/>
  <c r="D20" i="23"/>
  <c r="D97" i="66"/>
  <c r="E42" i="34"/>
  <c r="E42" i="66" s="1"/>
  <c r="N36" i="30"/>
  <c r="P79" i="43"/>
  <c r="D44" i="137" s="1"/>
  <c r="I42" i="34"/>
  <c r="O13" i="22"/>
  <c r="P13" i="22" s="1"/>
  <c r="P27" i="22" s="1"/>
  <c r="I97" i="141"/>
  <c r="I129" i="141"/>
  <c r="I127" i="141"/>
  <c r="I128" i="141"/>
  <c r="K52" i="141"/>
  <c r="L74" i="141"/>
  <c r="L52" i="141" s="1"/>
  <c r="G150" i="141"/>
  <c r="J119" i="141"/>
  <c r="J148" i="141"/>
  <c r="E140" i="141"/>
  <c r="E168" i="141"/>
  <c r="I148" i="141"/>
  <c r="G98" i="141"/>
  <c r="G130" i="141"/>
  <c r="K51" i="141"/>
  <c r="L73" i="141"/>
  <c r="L51" i="141" s="1"/>
  <c r="D54" i="141"/>
  <c r="D77" i="141"/>
  <c r="K49" i="141"/>
  <c r="L71" i="141"/>
  <c r="L49" i="141" s="1"/>
  <c r="G97" i="141"/>
  <c r="G129" i="141"/>
  <c r="G128" i="141"/>
  <c r="G127" i="141"/>
  <c r="E54" i="141"/>
  <c r="E77" i="141"/>
  <c r="K57" i="141"/>
  <c r="L79" i="141"/>
  <c r="L57" i="141" s="1"/>
  <c r="I149" i="141"/>
  <c r="K56" i="141"/>
  <c r="L78" i="141"/>
  <c r="L56" i="141" s="1"/>
  <c r="H97" i="141"/>
  <c r="H129" i="141"/>
  <c r="H128" i="141"/>
  <c r="H127" i="141"/>
  <c r="C149" i="141"/>
  <c r="K129" i="141"/>
  <c r="I150" i="141"/>
  <c r="C97" i="141"/>
  <c r="C129" i="141"/>
  <c r="C128" i="141"/>
  <c r="C127" i="141"/>
  <c r="I98" i="141"/>
  <c r="I130" i="141"/>
  <c r="AA51" i="148"/>
  <c r="AA79" i="148" s="1"/>
  <c r="AA80" i="148" s="1"/>
  <c r="AA82" i="148" s="1"/>
  <c r="J98" i="141"/>
  <c r="J130" i="141"/>
  <c r="J150" i="141"/>
  <c r="K98" i="141"/>
  <c r="K130" i="141"/>
  <c r="K50" i="141"/>
  <c r="L72" i="141"/>
  <c r="L50" i="141" s="1"/>
  <c r="K58" i="141"/>
  <c r="L80" i="141"/>
  <c r="L58" i="141" s="1"/>
  <c r="K48" i="141"/>
  <c r="L70" i="141"/>
  <c r="L48" i="141" s="1"/>
  <c r="F54" i="141"/>
  <c r="F77" i="141"/>
  <c r="C54" i="141"/>
  <c r="C77" i="141"/>
  <c r="AG49" i="148"/>
  <c r="AG51" i="148" s="1"/>
  <c r="AG79" i="148" s="1"/>
  <c r="U26" i="148"/>
  <c r="U78" i="148" s="1"/>
  <c r="D42" i="24"/>
  <c r="D120" i="66" s="1"/>
  <c r="P26" i="148"/>
  <c r="P78" i="148" s="1"/>
  <c r="P80" i="148" s="1"/>
  <c r="P82" i="148" s="1"/>
  <c r="AL39" i="6"/>
  <c r="Y39" i="148"/>
  <c r="AI38" i="6"/>
  <c r="AI56" i="6" s="1"/>
  <c r="B140" i="141"/>
  <c r="Z26" i="148"/>
  <c r="Z78" i="148" s="1"/>
  <c r="AD49" i="148"/>
  <c r="O26" i="148"/>
  <c r="O78" i="148" s="1"/>
  <c r="AE26" i="148"/>
  <c r="AE78" i="148" s="1"/>
  <c r="I26" i="138"/>
  <c r="I16" i="138" s="1"/>
  <c r="G188" i="141"/>
  <c r="F119" i="141"/>
  <c r="T26" i="148"/>
  <c r="T78" i="148" s="1"/>
  <c r="T80" i="148" s="1"/>
  <c r="T82" i="148" s="1"/>
  <c r="AJ26" i="148"/>
  <c r="AJ78" i="148" s="1"/>
  <c r="Z41" i="6"/>
  <c r="R41" i="6"/>
  <c r="I27" i="138"/>
  <c r="I17" i="138" s="1"/>
  <c r="L74" i="43" s="1"/>
  <c r="F24" i="56"/>
  <c r="AD51" i="148"/>
  <c r="AD79" i="148" s="1"/>
  <c r="M49" i="148"/>
  <c r="I30" i="138"/>
  <c r="I20" i="138" s="1"/>
  <c r="I29" i="138"/>
  <c r="I19" i="138" s="1"/>
  <c r="O9" i="23"/>
  <c r="I64" i="12"/>
  <c r="N64" i="12"/>
  <c r="N24" i="56"/>
  <c r="N42" i="34"/>
  <c r="D6" i="107"/>
  <c r="C25" i="107"/>
  <c r="D25" i="107" s="1"/>
  <c r="D9" i="107"/>
  <c r="C27" i="107"/>
  <c r="D27" i="107" s="1"/>
  <c r="C65" i="143"/>
  <c r="C63" i="143"/>
  <c r="D104" i="143"/>
  <c r="I31" i="40"/>
  <c r="D36" i="30"/>
  <c r="D42" i="34"/>
  <c r="M62" i="66"/>
  <c r="M91" i="66"/>
  <c r="M66" i="66"/>
  <c r="M45" i="66"/>
  <c r="I15" i="135"/>
  <c r="I91" i="66" s="1"/>
  <c r="E76" i="66"/>
  <c r="M61" i="66"/>
  <c r="M84" i="66"/>
  <c r="G10" i="2"/>
  <c r="P11" i="13"/>
  <c r="M127" i="66"/>
  <c r="S133" i="66"/>
  <c r="S248" i="66" s="1"/>
  <c r="S253" i="66" s="1"/>
  <c r="S255" i="66" s="1"/>
  <c r="I76" i="148"/>
  <c r="M51" i="148"/>
  <c r="M79" i="148" s="1"/>
  <c r="M26" i="148"/>
  <c r="M78" i="148" s="1"/>
  <c r="X41" i="6"/>
  <c r="N26" i="148"/>
  <c r="N78" i="148" s="1"/>
  <c r="P51" i="148"/>
  <c r="P79" i="148" s="1"/>
  <c r="S49" i="148"/>
  <c r="S51" i="148" s="1"/>
  <c r="S79" i="148" s="1"/>
  <c r="S80" i="148" s="1"/>
  <c r="S82" i="148" s="1"/>
  <c r="U49" i="148"/>
  <c r="U51" i="148" s="1"/>
  <c r="U79" i="148" s="1"/>
  <c r="U80" i="148" s="1"/>
  <c r="U82" i="148" s="1"/>
  <c r="W49" i="148"/>
  <c r="Y49" i="148"/>
  <c r="Y51" i="148" s="1"/>
  <c r="Y79" i="148" s="1"/>
  <c r="Y26" i="148"/>
  <c r="Y78" i="148" s="1"/>
  <c r="AC51" i="148"/>
  <c r="AC79" i="148" s="1"/>
  <c r="AC80" i="148" s="1"/>
  <c r="AC82" i="148" s="1"/>
  <c r="AD80" i="148"/>
  <c r="AD82" i="148" s="1"/>
  <c r="Z80" i="148"/>
  <c r="Z82" i="148" s="1"/>
  <c r="AJ15" i="6"/>
  <c r="X39" i="148"/>
  <c r="X51" i="148" s="1"/>
  <c r="X79" i="148" s="1"/>
  <c r="X80" i="148" s="1"/>
  <c r="X82" i="148" s="1"/>
  <c r="AI15" i="6"/>
  <c r="AI15" i="51"/>
  <c r="T15" i="6"/>
  <c r="I39" i="148"/>
  <c r="I51" i="148" s="1"/>
  <c r="I79" i="148" s="1"/>
  <c r="I14" i="148"/>
  <c r="I26" i="148" s="1"/>
  <c r="I78" i="148" s="1"/>
  <c r="G26" i="148"/>
  <c r="G78" i="148" s="1"/>
  <c r="G12" i="2"/>
  <c r="I12" i="2" s="1"/>
  <c r="O21" i="31"/>
  <c r="P21" i="31" s="1"/>
  <c r="N27" i="22"/>
  <c r="C24" i="56"/>
  <c r="I26" i="60"/>
  <c r="C58" i="143"/>
  <c r="N143" i="66" s="1"/>
  <c r="C29" i="143"/>
  <c r="E35" i="143" s="1"/>
  <c r="C64" i="143"/>
  <c r="O56" i="6"/>
  <c r="F106" i="66"/>
  <c r="AP56" i="51"/>
  <c r="AB31" i="51"/>
  <c r="AF31" i="51"/>
  <c r="C44" i="11"/>
  <c r="I39" i="66"/>
  <c r="C42" i="34"/>
  <c r="C42" i="66" s="1"/>
  <c r="C34" i="44"/>
  <c r="C91" i="66"/>
  <c r="C92" i="66"/>
  <c r="C22" i="54"/>
  <c r="C104" i="66"/>
  <c r="I65" i="66"/>
  <c r="I92" i="66"/>
  <c r="E106" i="66"/>
  <c r="D40" i="66"/>
  <c r="M47" i="40"/>
  <c r="N47" i="40" s="1"/>
  <c r="D22" i="54"/>
  <c r="D104" i="66"/>
  <c r="M27" i="18"/>
  <c r="N27" i="18" s="1"/>
  <c r="M75" i="11"/>
  <c r="N75" i="11" s="1"/>
  <c r="I40" i="66"/>
  <c r="M39" i="9"/>
  <c r="N39" i="9" s="1"/>
  <c r="D61" i="66"/>
  <c r="D92" i="66"/>
  <c r="E40" i="66"/>
  <c r="E91" i="66"/>
  <c r="M48" i="93"/>
  <c r="N48" i="93" s="1"/>
  <c r="M37" i="22"/>
  <c r="N37" i="22" s="1"/>
  <c r="E61" i="66"/>
  <c r="F21" i="47"/>
  <c r="F63" i="66"/>
  <c r="D20" i="18"/>
  <c r="D19" i="86"/>
  <c r="D44" i="11"/>
  <c r="D89" i="66" s="1"/>
  <c r="D64" i="12"/>
  <c r="AM56" i="6"/>
  <c r="AM61" i="6" s="1"/>
  <c r="Y31" i="51"/>
  <c r="C64" i="12"/>
  <c r="AK29" i="6"/>
  <c r="C33" i="35"/>
  <c r="C44" i="66" s="1"/>
  <c r="E23" i="29"/>
  <c r="E37" i="66" s="1"/>
  <c r="C129" i="66"/>
  <c r="E129" i="66"/>
  <c r="F19" i="13"/>
  <c r="F127" i="66"/>
  <c r="F129" i="66" s="1"/>
  <c r="D100" i="66"/>
  <c r="E100" i="66"/>
  <c r="C36" i="30"/>
  <c r="C38" i="66" s="1"/>
  <c r="E27" i="5"/>
  <c r="E113" i="66" s="1"/>
  <c r="C39" i="8"/>
  <c r="C82" i="66" s="1"/>
  <c r="N59" i="43"/>
  <c r="D28" i="43"/>
  <c r="D59" i="43" s="1"/>
  <c r="D57" i="66" s="1"/>
  <c r="I45" i="66"/>
  <c r="D45" i="66"/>
  <c r="N55" i="17"/>
  <c r="C27" i="22"/>
  <c r="E24" i="56"/>
  <c r="O23" i="29"/>
  <c r="P23" i="29" s="1"/>
  <c r="N37" i="66" s="1"/>
  <c r="AR29" i="6"/>
  <c r="I100" i="66"/>
  <c r="AD56" i="51"/>
  <c r="W56" i="51"/>
  <c r="F64" i="51"/>
  <c r="F97" i="66" s="1"/>
  <c r="AQ31" i="51"/>
  <c r="AK31" i="51"/>
  <c r="AA56" i="51"/>
  <c r="N44" i="11"/>
  <c r="I76" i="66"/>
  <c r="N20" i="18"/>
  <c r="N20" i="23"/>
  <c r="I20" i="23"/>
  <c r="I129" i="66"/>
  <c r="N19" i="86"/>
  <c r="D33" i="35"/>
  <c r="N27" i="33"/>
  <c r="D73" i="66"/>
  <c r="E66" i="66"/>
  <c r="E73" i="66"/>
  <c r="E83" i="66"/>
  <c r="E60" i="66"/>
  <c r="I84" i="66"/>
  <c r="I73" i="66"/>
  <c r="C60" i="66"/>
  <c r="I42" i="66"/>
  <c r="C115" i="66"/>
  <c r="E52" i="66"/>
  <c r="I66" i="66"/>
  <c r="I26" i="9"/>
  <c r="I60" i="66"/>
  <c r="I23" i="77"/>
  <c r="I47" i="66" s="1"/>
  <c r="E74" i="66"/>
  <c r="I52" i="66"/>
  <c r="D84" i="66"/>
  <c r="E84" i="66"/>
  <c r="C21" i="47"/>
  <c r="C63" i="66"/>
  <c r="D50" i="66"/>
  <c r="C52" i="66"/>
  <c r="E21" i="47"/>
  <c r="E63" i="66"/>
  <c r="C46" i="66"/>
  <c r="C74" i="66"/>
  <c r="I50" i="66"/>
  <c r="I26" i="149"/>
  <c r="E46" i="66"/>
  <c r="I90" i="66"/>
  <c r="I38" i="66"/>
  <c r="I38" i="38"/>
  <c r="D37" i="66"/>
  <c r="C48" i="66"/>
  <c r="D21" i="47"/>
  <c r="D63" i="66"/>
  <c r="D66" i="66"/>
  <c r="D115" i="66"/>
  <c r="I115" i="66"/>
  <c r="E115" i="66"/>
  <c r="I120" i="66"/>
  <c r="C97" i="66"/>
  <c r="I97" i="66"/>
  <c r="P248" i="66"/>
  <c r="P253" i="66" s="1"/>
  <c r="I82" i="66"/>
  <c r="E44" i="66"/>
  <c r="I44" i="66"/>
  <c r="D103" i="66"/>
  <c r="D106" i="66" s="1"/>
  <c r="I103" i="66"/>
  <c r="C103" i="66"/>
  <c r="E17" i="15"/>
  <c r="I17" i="15"/>
  <c r="I55" i="15"/>
  <c r="E59" i="43"/>
  <c r="E57" i="66" s="1"/>
  <c r="C58" i="66"/>
  <c r="I58" i="66"/>
  <c r="I59" i="43"/>
  <c r="C59" i="66"/>
  <c r="C55" i="15"/>
  <c r="D55" i="15"/>
  <c r="E55" i="15"/>
  <c r="N17" i="15"/>
  <c r="C17" i="15"/>
  <c r="D16" i="46"/>
  <c r="C29" i="49"/>
  <c r="T31" i="51"/>
  <c r="C16" i="46"/>
  <c r="E42" i="24"/>
  <c r="R56" i="51"/>
  <c r="L57" i="8"/>
  <c r="N57" i="8" s="1"/>
  <c r="I15" i="2"/>
  <c r="D21" i="77"/>
  <c r="D23" i="77" s="1"/>
  <c r="D47" i="66" s="1"/>
  <c r="F39" i="8"/>
  <c r="F82" i="66" s="1"/>
  <c r="X56" i="6"/>
  <c r="AF56" i="6"/>
  <c r="N23" i="29"/>
  <c r="AO29" i="6"/>
  <c r="T56" i="6"/>
  <c r="Z29" i="6"/>
  <c r="D17" i="7"/>
  <c r="C30" i="93"/>
  <c r="AU31" i="51"/>
  <c r="AR56" i="51"/>
  <c r="AN56" i="51"/>
  <c r="AL56" i="51"/>
  <c r="AH31" i="51"/>
  <c r="AT31" i="51"/>
  <c r="AK56" i="51"/>
  <c r="Y56" i="51"/>
  <c r="S56" i="51"/>
  <c r="D26" i="60"/>
  <c r="D59" i="66" s="1"/>
  <c r="C27" i="5"/>
  <c r="C113" i="66" s="1"/>
  <c r="AJ56" i="6"/>
  <c r="D34" i="44"/>
  <c r="P12" i="48"/>
  <c r="N65" i="66" s="1"/>
  <c r="F27" i="33"/>
  <c r="F41" i="66" s="1"/>
  <c r="F34" i="44"/>
  <c r="F60" i="66" s="1"/>
  <c r="F29" i="49"/>
  <c r="F90" i="66" s="1"/>
  <c r="C26" i="9"/>
  <c r="E55" i="17"/>
  <c r="F23" i="29"/>
  <c r="F37" i="66" s="1"/>
  <c r="F16" i="46"/>
  <c r="F62" i="66" s="1"/>
  <c r="F20" i="18"/>
  <c r="F73" i="66" s="1"/>
  <c r="D38" i="38"/>
  <c r="O22" i="54"/>
  <c r="E29" i="49"/>
  <c r="N29" i="49"/>
  <c r="N39" i="8"/>
  <c r="N31" i="40"/>
  <c r="P20" i="53"/>
  <c r="F77" i="26"/>
  <c r="J77" i="26" s="1"/>
  <c r="AB56" i="51"/>
  <c r="AU56" i="51"/>
  <c r="AF56" i="51"/>
  <c r="Z56" i="51"/>
  <c r="V31" i="51"/>
  <c r="AS31" i="51"/>
  <c r="AO31" i="51"/>
  <c r="AI56" i="51"/>
  <c r="AG31" i="51"/>
  <c r="AE56" i="51"/>
  <c r="AP56" i="6"/>
  <c r="AT29" i="6"/>
  <c r="AR56" i="6"/>
  <c r="AL56" i="6"/>
  <c r="AL29" i="6"/>
  <c r="AJ29" i="6"/>
  <c r="C23" i="29"/>
  <c r="L51" i="30"/>
  <c r="F36" i="30"/>
  <c r="F38" i="66" s="1"/>
  <c r="I27" i="33"/>
  <c r="C27" i="33"/>
  <c r="C41" i="66" s="1"/>
  <c r="D27" i="33"/>
  <c r="L57" i="35"/>
  <c r="F33" i="35"/>
  <c r="F44" i="66" s="1"/>
  <c r="D26" i="149"/>
  <c r="F23" i="77"/>
  <c r="F47" i="66" s="1"/>
  <c r="L62" i="38"/>
  <c r="F31" i="40"/>
  <c r="F49" i="66" s="1"/>
  <c r="C59" i="43"/>
  <c r="F59" i="43"/>
  <c r="F57" i="66" s="1"/>
  <c r="L51" i="60"/>
  <c r="F26" i="60"/>
  <c r="F59" i="66" s="1"/>
  <c r="L54" i="44"/>
  <c r="N34" i="44"/>
  <c r="F19" i="86"/>
  <c r="F66" i="66" s="1"/>
  <c r="F55" i="17"/>
  <c r="D16" i="17"/>
  <c r="D55" i="17" s="1"/>
  <c r="C20" i="23"/>
  <c r="E20" i="23"/>
  <c r="F20" i="23"/>
  <c r="C20" i="18"/>
  <c r="O18" i="18"/>
  <c r="L31" i="18"/>
  <c r="L34" i="18" s="1"/>
  <c r="M34" i="18" s="1"/>
  <c r="N34" i="18" s="1"/>
  <c r="D27" i="22"/>
  <c r="C17" i="7"/>
  <c r="N17" i="7"/>
  <c r="L58" i="8"/>
  <c r="N58" i="8" s="1"/>
  <c r="D39" i="8"/>
  <c r="F26" i="9"/>
  <c r="F83" i="66" s="1"/>
  <c r="F44" i="11"/>
  <c r="F89" i="66" s="1"/>
  <c r="E64" i="51"/>
  <c r="F30" i="93"/>
  <c r="D30" i="93"/>
  <c r="C42" i="24"/>
  <c r="D12" i="5"/>
  <c r="D27" i="5" s="1"/>
  <c r="D113" i="66" s="1"/>
  <c r="O27" i="5"/>
  <c r="M113" i="66" s="1"/>
  <c r="P12" i="5"/>
  <c r="P22" i="5"/>
  <c r="N27" i="5"/>
  <c r="C61" i="6"/>
  <c r="D56" i="6"/>
  <c r="D61" i="6" s="1"/>
  <c r="AK56" i="6"/>
  <c r="R56" i="6"/>
  <c r="W56" i="6"/>
  <c r="W61" i="6" s="1"/>
  <c r="AA56" i="6"/>
  <c r="AE29" i="6"/>
  <c r="AI29" i="6"/>
  <c r="AT56" i="6"/>
  <c r="AT61" i="6" s="1"/>
  <c r="N61" i="6"/>
  <c r="AS29" i="6"/>
  <c r="AN56" i="6"/>
  <c r="AH56" i="6"/>
  <c r="V56" i="6"/>
  <c r="X29" i="6"/>
  <c r="AO56" i="6"/>
  <c r="AE56" i="6"/>
  <c r="AC29" i="6"/>
  <c r="AB56" i="6"/>
  <c r="AD56" i="6"/>
  <c r="V29" i="6"/>
  <c r="AP29" i="6"/>
  <c r="Y56" i="6"/>
  <c r="AA29" i="6"/>
  <c r="S29" i="6"/>
  <c r="AG29" i="6"/>
  <c r="R29" i="6"/>
  <c r="I61" i="6"/>
  <c r="E61" i="6"/>
  <c r="F61" i="6"/>
  <c r="F114" i="66" s="1"/>
  <c r="U246" i="66"/>
  <c r="P14" i="32"/>
  <c r="P16" i="46"/>
  <c r="N62" i="66" s="1"/>
  <c r="AD31" i="51"/>
  <c r="AG56" i="51"/>
  <c r="AI31" i="51"/>
  <c r="P23" i="77"/>
  <c r="N47" i="66" s="1"/>
  <c r="I16" i="46"/>
  <c r="D17" i="15"/>
  <c r="AO56" i="51"/>
  <c r="AN31" i="51"/>
  <c r="O14" i="50"/>
  <c r="F42" i="34"/>
  <c r="F42" i="66" s="1"/>
  <c r="P15" i="10"/>
  <c r="N84" i="66" s="1"/>
  <c r="AJ31" i="51"/>
  <c r="C19" i="86"/>
  <c r="C66" i="66" s="1"/>
  <c r="O26" i="149"/>
  <c r="P25" i="5"/>
  <c r="D31" i="40"/>
  <c r="D49" i="66" s="1"/>
  <c r="O17" i="7"/>
  <c r="E31" i="40"/>
  <c r="E39" i="8"/>
  <c r="P19" i="86"/>
  <c r="N66" i="66" s="1"/>
  <c r="P18" i="41"/>
  <c r="N50" i="66" s="1"/>
  <c r="C31" i="40"/>
  <c r="C49" i="66" s="1"/>
  <c r="F38" i="38"/>
  <c r="F48" i="66" s="1"/>
  <c r="F22" i="54"/>
  <c r="F27" i="5"/>
  <c r="F113" i="66" s="1"/>
  <c r="P19" i="31"/>
  <c r="N16" i="46"/>
  <c r="E26" i="60"/>
  <c r="F17" i="15"/>
  <c r="F55" i="15"/>
  <c r="O55" i="15"/>
  <c r="N55" i="15"/>
  <c r="I27" i="22"/>
  <c r="N30" i="93"/>
  <c r="I30" i="93"/>
  <c r="I27" i="5"/>
  <c r="I113" i="66" s="1"/>
  <c r="AE31" i="51"/>
  <c r="R31" i="51"/>
  <c r="AM56" i="51"/>
  <c r="AT56" i="51"/>
  <c r="AJ56" i="51"/>
  <c r="AL31" i="51"/>
  <c r="X31" i="51"/>
  <c r="AM31" i="51"/>
  <c r="D76" i="137"/>
  <c r="D78" i="137"/>
  <c r="D72" i="137"/>
  <c r="O9" i="56"/>
  <c r="E32" i="2"/>
  <c r="U24" i="66"/>
  <c r="T28" i="66" s="1"/>
  <c r="T252" i="66" s="1"/>
  <c r="P15" i="66"/>
  <c r="P9" i="66"/>
  <c r="R248" i="66"/>
  <c r="H84" i="26"/>
  <c r="F64" i="12"/>
  <c r="F111" i="66" s="1"/>
  <c r="D81" i="137"/>
  <c r="I44" i="11"/>
  <c r="T133" i="66"/>
  <c r="T248" i="66" s="1"/>
  <c r="T253" i="66" s="1"/>
  <c r="I13" i="2"/>
  <c r="P15" i="36"/>
  <c r="M106" i="66"/>
  <c r="N64" i="51"/>
  <c r="B17" i="167"/>
  <c r="F26" i="149"/>
  <c r="F46" i="66" s="1"/>
  <c r="E64" i="12"/>
  <c r="E111" i="66" s="1"/>
  <c r="T56" i="51" l="1"/>
  <c r="B28" i="133"/>
  <c r="N40" i="66"/>
  <c r="N74" i="66"/>
  <c r="N45" i="66"/>
  <c r="M143" i="66"/>
  <c r="N103" i="66"/>
  <c r="N106" i="66" s="1"/>
  <c r="N39" i="66"/>
  <c r="M92" i="66"/>
  <c r="AA31" i="51"/>
  <c r="D38" i="66"/>
  <c r="P82" i="43"/>
  <c r="N16" i="66"/>
  <c r="R16" i="66"/>
  <c r="I49" i="66"/>
  <c r="M46" i="66"/>
  <c r="AQ56" i="51"/>
  <c r="AQ64" i="51" s="1"/>
  <c r="X56" i="51"/>
  <c r="O27" i="22"/>
  <c r="Q80" i="148"/>
  <c r="Q82" i="148" s="1"/>
  <c r="Q39" i="148"/>
  <c r="Q51" i="148" s="1"/>
  <c r="Q79" i="148" s="1"/>
  <c r="K34" i="141"/>
  <c r="AG61" i="6"/>
  <c r="AB61" i="6"/>
  <c r="F32" i="141"/>
  <c r="N38" i="60"/>
  <c r="D57" i="137" s="1"/>
  <c r="L38" i="40"/>
  <c r="N38" i="40" s="1"/>
  <c r="C26" i="148"/>
  <c r="C78" i="148" s="1"/>
  <c r="C80" i="148" s="1"/>
  <c r="C82" i="148" s="1"/>
  <c r="V49" i="148"/>
  <c r="V51" i="148" s="1"/>
  <c r="V79" i="148" s="1"/>
  <c r="V80" i="148" s="1"/>
  <c r="V82" i="148" s="1"/>
  <c r="N69" i="15"/>
  <c r="D67" i="137" s="1"/>
  <c r="L34" i="141"/>
  <c r="AS37" i="6"/>
  <c r="AS56" i="6" s="1"/>
  <c r="AH49" i="148"/>
  <c r="AH51" i="148" s="1"/>
  <c r="AH79" i="148" s="1"/>
  <c r="AH80" i="148" s="1"/>
  <c r="AH82" i="148" s="1"/>
  <c r="T29" i="6"/>
  <c r="O15" i="6"/>
  <c r="O29" i="6" s="1"/>
  <c r="O61" i="6" s="1"/>
  <c r="Z64" i="51"/>
  <c r="L59" i="11"/>
  <c r="N59" i="11" s="1"/>
  <c r="D101" i="137" s="1"/>
  <c r="L26" i="141"/>
  <c r="L35" i="141"/>
  <c r="L27" i="141"/>
  <c r="L36" i="60"/>
  <c r="L30" i="141"/>
  <c r="N83" i="43"/>
  <c r="D16" i="138"/>
  <c r="L84" i="43" s="1"/>
  <c r="N63" i="11"/>
  <c r="D105" i="137" s="1"/>
  <c r="N57" i="11"/>
  <c r="U38" i="6"/>
  <c r="U56" i="6" s="1"/>
  <c r="U61" i="6" s="1"/>
  <c r="J49" i="148"/>
  <c r="K28" i="141"/>
  <c r="G80" i="148"/>
  <c r="G82" i="148" s="1"/>
  <c r="M80" i="148"/>
  <c r="M82" i="148" s="1"/>
  <c r="L80" i="43"/>
  <c r="N80" i="43" s="1"/>
  <c r="L81" i="43"/>
  <c r="N81" i="43" s="1"/>
  <c r="L60" i="11"/>
  <c r="N60" i="11" s="1"/>
  <c r="D102" i="137" s="1"/>
  <c r="K26" i="141"/>
  <c r="K35" i="141"/>
  <c r="K27" i="141"/>
  <c r="K30" i="141"/>
  <c r="D168" i="141"/>
  <c r="D169" i="141"/>
  <c r="D140" i="141"/>
  <c r="N39" i="148"/>
  <c r="N51" i="148" s="1"/>
  <c r="N79" i="148" s="1"/>
  <c r="N80" i="148" s="1"/>
  <c r="N82" i="148" s="1"/>
  <c r="AH13" i="6"/>
  <c r="AH29" i="6" s="1"/>
  <c r="AH61" i="6" s="1"/>
  <c r="W39" i="148"/>
  <c r="C51" i="148"/>
  <c r="C79" i="148" s="1"/>
  <c r="C32" i="141"/>
  <c r="W51" i="148"/>
  <c r="W79" i="148" s="1"/>
  <c r="W80" i="148" s="1"/>
  <c r="W82" i="148" s="1"/>
  <c r="K97" i="141"/>
  <c r="AD64" i="51"/>
  <c r="Z56" i="6"/>
  <c r="AG80" i="148"/>
  <c r="AG82" i="148" s="1"/>
  <c r="N42" i="30"/>
  <c r="D6" i="137" s="1"/>
  <c r="L36" i="141"/>
  <c r="N40" i="60"/>
  <c r="D59" i="137" s="1"/>
  <c r="N72" i="15"/>
  <c r="D70" i="137" s="1"/>
  <c r="AE51" i="148"/>
  <c r="AE79" i="148" s="1"/>
  <c r="AE80" i="148" s="1"/>
  <c r="AE82" i="148" s="1"/>
  <c r="L58" i="11"/>
  <c r="N58" i="11" s="1"/>
  <c r="D100" i="137" s="1"/>
  <c r="L61" i="11"/>
  <c r="N61" i="11" s="1"/>
  <c r="D103" i="137" s="1"/>
  <c r="AU38" i="6"/>
  <c r="AU56" i="6" s="1"/>
  <c r="AU61" i="6" s="1"/>
  <c r="AJ49" i="148"/>
  <c r="AQ14" i="6"/>
  <c r="AQ29" i="6" s="1"/>
  <c r="AF39" i="148"/>
  <c r="AF61" i="6"/>
  <c r="K36" i="141"/>
  <c r="H130" i="141"/>
  <c r="K127" i="141"/>
  <c r="N41" i="44"/>
  <c r="E32" i="141"/>
  <c r="D32" i="141"/>
  <c r="AF49" i="148"/>
  <c r="AF51" i="148" s="1"/>
  <c r="AF79" i="148" s="1"/>
  <c r="AF80" i="148" s="1"/>
  <c r="AF82" i="148" s="1"/>
  <c r="AQ39" i="6"/>
  <c r="AQ56" i="6" s="1"/>
  <c r="AJ39" i="148"/>
  <c r="AU14" i="6"/>
  <c r="AU29" i="6" s="1"/>
  <c r="L50" i="38"/>
  <c r="K29" i="141"/>
  <c r="L28" i="141"/>
  <c r="L39" i="60"/>
  <c r="L29" i="141"/>
  <c r="L86" i="43"/>
  <c r="N86" i="43" s="1"/>
  <c r="L49" i="24"/>
  <c r="N49" i="24" s="1"/>
  <c r="O10" i="24" s="1"/>
  <c r="L44" i="35"/>
  <c r="N44" i="35" s="1"/>
  <c r="D20" i="137" s="1"/>
  <c r="N48" i="24"/>
  <c r="L74" i="12"/>
  <c r="N74" i="12" s="1"/>
  <c r="D125" i="137" s="1"/>
  <c r="L64" i="11"/>
  <c r="N64" i="11" s="1"/>
  <c r="D106" i="137" s="1"/>
  <c r="S39" i="6"/>
  <c r="S56" i="6" s="1"/>
  <c r="H49" i="148"/>
  <c r="H51" i="148" s="1"/>
  <c r="H79" i="148" s="1"/>
  <c r="H80" i="148" s="1"/>
  <c r="H82" i="148" s="1"/>
  <c r="U14" i="6"/>
  <c r="U29" i="6" s="1"/>
  <c r="J39" i="148"/>
  <c r="AK61" i="6"/>
  <c r="O10" i="35"/>
  <c r="L55" i="35" s="1"/>
  <c r="AV31" i="51"/>
  <c r="AV32" i="51"/>
  <c r="N127" i="66"/>
  <c r="O127" i="66"/>
  <c r="D17" i="167"/>
  <c r="D42" i="66"/>
  <c r="T61" i="6"/>
  <c r="C75" i="141"/>
  <c r="C108" i="141"/>
  <c r="C107" i="141"/>
  <c r="C106" i="141"/>
  <c r="H75" i="141"/>
  <c r="H108" i="141"/>
  <c r="H107" i="141"/>
  <c r="H106" i="141"/>
  <c r="L78" i="43"/>
  <c r="N78" i="43" s="1"/>
  <c r="P78" i="43" s="1"/>
  <c r="D43" i="137" s="1"/>
  <c r="L77" i="43"/>
  <c r="N77" i="43" s="1"/>
  <c r="L76" i="43"/>
  <c r="N76" i="43" s="1"/>
  <c r="K75" i="141"/>
  <c r="K108" i="141"/>
  <c r="K106" i="141"/>
  <c r="K107" i="141"/>
  <c r="C70" i="26"/>
  <c r="C71" i="26" s="1"/>
  <c r="C78" i="26" s="1"/>
  <c r="C90" i="26" s="1"/>
  <c r="B119" i="141"/>
  <c r="B148" i="141"/>
  <c r="B149" i="141"/>
  <c r="K76" i="141"/>
  <c r="K109" i="141"/>
  <c r="E119" i="141"/>
  <c r="E149" i="141"/>
  <c r="E148" i="141"/>
  <c r="L73" i="43"/>
  <c r="N73" i="43" s="1"/>
  <c r="P73" i="43" s="1"/>
  <c r="D37" i="137" s="1"/>
  <c r="L72" i="43"/>
  <c r="N72" i="43" s="1"/>
  <c r="L71" i="43"/>
  <c r="N71" i="43" s="1"/>
  <c r="G75" i="141"/>
  <c r="G108" i="141"/>
  <c r="G106" i="141"/>
  <c r="G107" i="141"/>
  <c r="G76" i="141"/>
  <c r="G109" i="141"/>
  <c r="J97" i="141"/>
  <c r="J129" i="141"/>
  <c r="J128" i="141"/>
  <c r="J127" i="141"/>
  <c r="I57" i="66"/>
  <c r="C69" i="143"/>
  <c r="D69" i="143" s="1"/>
  <c r="D88" i="143" s="1"/>
  <c r="D89" i="143" s="1"/>
  <c r="C119" i="143"/>
  <c r="L23" i="135"/>
  <c r="M23" i="135" s="1"/>
  <c r="N23" i="135" s="1"/>
  <c r="I76" i="141"/>
  <c r="I109" i="141"/>
  <c r="N37" i="60"/>
  <c r="D56" i="137" s="1"/>
  <c r="N49" i="34"/>
  <c r="D16" i="137" s="1"/>
  <c r="L42" i="44"/>
  <c r="N42" i="44" s="1"/>
  <c r="D64" i="137" s="1"/>
  <c r="I107" i="141"/>
  <c r="I75" i="141"/>
  <c r="I108" i="141"/>
  <c r="I106" i="141"/>
  <c r="L70" i="43"/>
  <c r="N70" i="43" s="1"/>
  <c r="J76" i="141"/>
  <c r="J109" i="141"/>
  <c r="N70" i="15"/>
  <c r="L44" i="30"/>
  <c r="N44" i="30" s="1"/>
  <c r="D44" i="66"/>
  <c r="AI61" i="6"/>
  <c r="F97" i="141"/>
  <c r="F129" i="141"/>
  <c r="F128" i="141"/>
  <c r="F127" i="141"/>
  <c r="H109" i="141"/>
  <c r="H76" i="141"/>
  <c r="C89" i="66"/>
  <c r="R253" i="66"/>
  <c r="R257" i="66" s="1"/>
  <c r="R258" i="66" s="1"/>
  <c r="D94" i="66"/>
  <c r="M26" i="144"/>
  <c r="D76" i="66"/>
  <c r="M76" i="66"/>
  <c r="M37" i="66"/>
  <c r="C106" i="66"/>
  <c r="Y64" i="51"/>
  <c r="Y80" i="148"/>
  <c r="Y82" i="148" s="1"/>
  <c r="AK64" i="51"/>
  <c r="AB64" i="51"/>
  <c r="I80" i="148"/>
  <c r="I82" i="148" s="1"/>
  <c r="R64" i="51"/>
  <c r="AF64" i="51"/>
  <c r="P26" i="149"/>
  <c r="N46" i="66" s="1"/>
  <c r="I59" i="66"/>
  <c r="D40" i="143"/>
  <c r="C30" i="143"/>
  <c r="C39" i="143" s="1"/>
  <c r="C41" i="143" s="1"/>
  <c r="C53" i="143"/>
  <c r="C54" i="143" s="1"/>
  <c r="C48" i="143"/>
  <c r="F94" i="66"/>
  <c r="AR61" i="6"/>
  <c r="AP61" i="6"/>
  <c r="O26" i="93"/>
  <c r="O30" i="93" s="1"/>
  <c r="M237" i="66" s="1"/>
  <c r="M246" i="66" s="1"/>
  <c r="L49" i="93"/>
  <c r="L51" i="93" s="1"/>
  <c r="M51" i="93" s="1"/>
  <c r="N51" i="93" s="1"/>
  <c r="O64" i="51"/>
  <c r="C76" i="66"/>
  <c r="M57" i="35"/>
  <c r="N57" i="35" s="1"/>
  <c r="M54" i="44"/>
  <c r="N54" i="44" s="1"/>
  <c r="M62" i="38"/>
  <c r="N62" i="38" s="1"/>
  <c r="H70" i="26"/>
  <c r="D70" i="26"/>
  <c r="P55" i="15"/>
  <c r="AR64" i="51"/>
  <c r="I71" i="66"/>
  <c r="I106" i="66"/>
  <c r="M51" i="60"/>
  <c r="N51" i="60" s="1"/>
  <c r="T64" i="51"/>
  <c r="AL61" i="6"/>
  <c r="AO61" i="6"/>
  <c r="W64" i="51"/>
  <c r="S64" i="51"/>
  <c r="AJ61" i="6"/>
  <c r="AL64" i="51"/>
  <c r="AE64" i="51"/>
  <c r="AJ64" i="51"/>
  <c r="M57" i="8"/>
  <c r="M51" i="30"/>
  <c r="N51" i="30" s="1"/>
  <c r="V64" i="51"/>
  <c r="AS64" i="51"/>
  <c r="AT64" i="51"/>
  <c r="AN64" i="51"/>
  <c r="AA64" i="51"/>
  <c r="I62" i="66"/>
  <c r="C62" i="66"/>
  <c r="D62" i="66"/>
  <c r="P14" i="50"/>
  <c r="N92" i="66" s="1"/>
  <c r="N60" i="15"/>
  <c r="M58" i="8"/>
  <c r="D60" i="15"/>
  <c r="D71" i="66" s="1"/>
  <c r="F117" i="66"/>
  <c r="AG64" i="51"/>
  <c r="E114" i="66"/>
  <c r="E117" i="66" s="1"/>
  <c r="D74" i="66"/>
  <c r="I41" i="66"/>
  <c r="C37" i="66"/>
  <c r="C54" i="66" s="1"/>
  <c r="D60" i="66"/>
  <c r="I37" i="66"/>
  <c r="I114" i="66"/>
  <c r="D46" i="66"/>
  <c r="C83" i="66"/>
  <c r="C90" i="66"/>
  <c r="D114" i="66"/>
  <c r="C114" i="66"/>
  <c r="D41" i="66"/>
  <c r="D48" i="66"/>
  <c r="I89" i="66"/>
  <c r="I94" i="66" s="1"/>
  <c r="I74" i="66"/>
  <c r="C73" i="66"/>
  <c r="E90" i="66"/>
  <c r="E94" i="66" s="1"/>
  <c r="I48" i="66"/>
  <c r="I46" i="66"/>
  <c r="I83" i="66"/>
  <c r="I86" i="66" s="1"/>
  <c r="C120" i="66"/>
  <c r="E120" i="66"/>
  <c r="E97" i="66"/>
  <c r="F54" i="66"/>
  <c r="E49" i="66"/>
  <c r="E54" i="66" s="1"/>
  <c r="X61" i="6"/>
  <c r="AC61" i="6"/>
  <c r="D111" i="66"/>
  <c r="I111" i="66"/>
  <c r="C111" i="66"/>
  <c r="F68" i="66"/>
  <c r="D82" i="66"/>
  <c r="E82" i="66"/>
  <c r="I60" i="15"/>
  <c r="E60" i="15"/>
  <c r="C60" i="15"/>
  <c r="C57" i="66"/>
  <c r="E59" i="66"/>
  <c r="E68" i="66" s="1"/>
  <c r="AO64" i="51"/>
  <c r="AH64" i="51"/>
  <c r="AU64" i="51"/>
  <c r="AS61" i="6"/>
  <c r="S61" i="6"/>
  <c r="R61" i="6"/>
  <c r="Z61" i="6"/>
  <c r="P22" i="54"/>
  <c r="G77" i="26"/>
  <c r="L77" i="26" s="1"/>
  <c r="H77" i="26"/>
  <c r="T255" i="66"/>
  <c r="AN61" i="6"/>
  <c r="AC64" i="51"/>
  <c r="AI64" i="51"/>
  <c r="AA61" i="6"/>
  <c r="AE61" i="6"/>
  <c r="P17" i="7"/>
  <c r="N74" i="43"/>
  <c r="O12" i="56"/>
  <c r="L32" i="56"/>
  <c r="L43" i="56" s="1"/>
  <c r="O13" i="23"/>
  <c r="O20" i="23" s="1"/>
  <c r="L26" i="23"/>
  <c r="L33" i="23" s="1"/>
  <c r="F60" i="15"/>
  <c r="F71" i="66" s="1"/>
  <c r="F78" i="66" s="1"/>
  <c r="O20" i="18"/>
  <c r="M31" i="18"/>
  <c r="N31" i="18" s="1"/>
  <c r="N93" i="15"/>
  <c r="L36" i="22"/>
  <c r="L49" i="22" s="1"/>
  <c r="U64" i="51"/>
  <c r="P27" i="5"/>
  <c r="V61" i="6"/>
  <c r="Y61" i="6"/>
  <c r="AD61" i="6"/>
  <c r="P28" i="66"/>
  <c r="P252" i="66" s="1"/>
  <c r="P255" i="66" s="1"/>
  <c r="AM64" i="51"/>
  <c r="X64" i="51"/>
  <c r="F66" i="26"/>
  <c r="G17" i="66" s="1"/>
  <c r="I10" i="2"/>
  <c r="AV29" i="6" l="1"/>
  <c r="C90" i="143"/>
  <c r="C87" i="143"/>
  <c r="C88" i="143" s="1"/>
  <c r="N76" i="66"/>
  <c r="O24" i="56"/>
  <c r="P24" i="56" s="1"/>
  <c r="AV30" i="6"/>
  <c r="AQ61" i="6"/>
  <c r="O8" i="30"/>
  <c r="M74" i="66"/>
  <c r="M73" i="66"/>
  <c r="N84" i="43"/>
  <c r="D47" i="137"/>
  <c r="B9" i="167"/>
  <c r="D9" i="167" s="1"/>
  <c r="Q9" i="167" s="1"/>
  <c r="M97" i="66"/>
  <c r="D48" i="137"/>
  <c r="C10" i="107"/>
  <c r="C28" i="107" s="1"/>
  <c r="D28" i="107" s="1"/>
  <c r="O9" i="24"/>
  <c r="D113" i="137"/>
  <c r="N50" i="38"/>
  <c r="D25" i="137" s="1"/>
  <c r="D99" i="137"/>
  <c r="O10" i="11"/>
  <c r="J51" i="148"/>
  <c r="J79" i="148" s="1"/>
  <c r="J80" i="148" s="1"/>
  <c r="J82" i="148" s="1"/>
  <c r="N36" i="60"/>
  <c r="D55" i="137" s="1"/>
  <c r="L54" i="11"/>
  <c r="N54" i="11" s="1"/>
  <c r="D97" i="137" s="1"/>
  <c r="L65" i="24"/>
  <c r="M65" i="24" s="1"/>
  <c r="N65" i="24" s="1"/>
  <c r="D114" i="137"/>
  <c r="D50" i="137"/>
  <c r="O10" i="43"/>
  <c r="N39" i="60"/>
  <c r="D58" i="137" s="1"/>
  <c r="L39" i="49"/>
  <c r="N39" i="49" s="1"/>
  <c r="L48" i="8"/>
  <c r="N48" i="8" s="1"/>
  <c r="L43" i="35"/>
  <c r="N43" i="35" s="1"/>
  <c r="D21" i="137" s="1"/>
  <c r="AJ51" i="148"/>
  <c r="AJ79" i="148" s="1"/>
  <c r="AJ80" i="148" s="1"/>
  <c r="AJ82" i="148" s="1"/>
  <c r="D119" i="141"/>
  <c r="D148" i="141"/>
  <c r="D149" i="141"/>
  <c r="M27" i="144"/>
  <c r="E68" i="143"/>
  <c r="E88" i="143" s="1"/>
  <c r="AV33" i="51"/>
  <c r="N113" i="66"/>
  <c r="C31" i="143"/>
  <c r="P71" i="43"/>
  <c r="D35" i="137" s="1"/>
  <c r="P72" i="43"/>
  <c r="D36" i="137" s="1"/>
  <c r="P70" i="43"/>
  <c r="P80" i="43"/>
  <c r="D45" i="137" s="1"/>
  <c r="P76" i="43"/>
  <c r="D41" i="137" s="1"/>
  <c r="P81" i="43"/>
  <c r="D46" i="137" s="1"/>
  <c r="P77" i="43"/>
  <c r="D42" i="137" s="1"/>
  <c r="D14" i="66"/>
  <c r="D28" i="66" s="1"/>
  <c r="C94" i="66"/>
  <c r="F75" i="141"/>
  <c r="F108" i="141"/>
  <c r="F107" i="141"/>
  <c r="F106" i="141"/>
  <c r="B97" i="141"/>
  <c r="B129" i="141"/>
  <c r="B128" i="141"/>
  <c r="B127" i="141"/>
  <c r="K85" i="141"/>
  <c r="K86" i="141"/>
  <c r="K84" i="141"/>
  <c r="K53" i="141"/>
  <c r="K31" i="141" s="1"/>
  <c r="L75" i="141"/>
  <c r="D8" i="137"/>
  <c r="G54" i="141"/>
  <c r="G32" i="141" s="1"/>
  <c r="G33" i="141" s="1"/>
  <c r="G77" i="141"/>
  <c r="D68" i="137"/>
  <c r="I54" i="141"/>
  <c r="I32" i="141" s="1"/>
  <c r="I33" i="141" s="1"/>
  <c r="I77" i="141"/>
  <c r="H54" i="141"/>
  <c r="H32" i="141" s="1"/>
  <c r="H33" i="141" s="1"/>
  <c r="H77" i="141"/>
  <c r="E97" i="141"/>
  <c r="E129" i="141"/>
  <c r="E128" i="141"/>
  <c r="E127" i="141"/>
  <c r="C85" i="141"/>
  <c r="C84" i="141"/>
  <c r="C53" i="141"/>
  <c r="C31" i="141" s="1"/>
  <c r="C86" i="141"/>
  <c r="I86" i="141"/>
  <c r="I85" i="141"/>
  <c r="I84" i="141"/>
  <c r="I53" i="141"/>
  <c r="I31" i="141" s="1"/>
  <c r="J54" i="141"/>
  <c r="J32" i="141" s="1"/>
  <c r="J33" i="141" s="1"/>
  <c r="J77" i="141"/>
  <c r="G53" i="141"/>
  <c r="G31" i="141" s="1"/>
  <c r="G84" i="141"/>
  <c r="G85" i="141"/>
  <c r="G86" i="141"/>
  <c r="K54" i="141"/>
  <c r="K32" i="141" s="1"/>
  <c r="K33" i="141" s="1"/>
  <c r="L76" i="141"/>
  <c r="K77" i="141"/>
  <c r="O143" i="66"/>
  <c r="B16" i="167"/>
  <c r="J75" i="141"/>
  <c r="J107" i="141"/>
  <c r="J108" i="141"/>
  <c r="J106" i="141"/>
  <c r="D10" i="107"/>
  <c r="H86" i="141"/>
  <c r="H85" i="141"/>
  <c r="H53" i="141"/>
  <c r="H31" i="141" s="1"/>
  <c r="H84" i="141"/>
  <c r="P61" i="6"/>
  <c r="O63" i="6"/>
  <c r="P63" i="6" s="1"/>
  <c r="M114" i="66"/>
  <c r="N114" i="66" s="1"/>
  <c r="M49" i="22"/>
  <c r="N49" i="22" s="1"/>
  <c r="M33" i="23"/>
  <c r="N33" i="23" s="1"/>
  <c r="M43" i="56"/>
  <c r="N43" i="56" s="1"/>
  <c r="O66" i="51"/>
  <c r="P66" i="51" s="1"/>
  <c r="P30" i="93"/>
  <c r="P64" i="51"/>
  <c r="I78" i="66"/>
  <c r="I68" i="66"/>
  <c r="M49" i="93"/>
  <c r="N49" i="93" s="1"/>
  <c r="M36" i="22"/>
  <c r="N36" i="22" s="1"/>
  <c r="M32" i="56"/>
  <c r="N32" i="56" s="1"/>
  <c r="F86" i="66"/>
  <c r="F108" i="66" s="1"/>
  <c r="F133" i="66" s="1"/>
  <c r="M55" i="35"/>
  <c r="N55" i="35" s="1"/>
  <c r="M26" i="23"/>
  <c r="N26" i="23" s="1"/>
  <c r="D71" i="26"/>
  <c r="D78" i="26" s="1"/>
  <c r="D90" i="26" s="1"/>
  <c r="E14" i="66"/>
  <c r="E28" i="66" s="1"/>
  <c r="I14" i="66"/>
  <c r="D117" i="66"/>
  <c r="C68" i="66"/>
  <c r="C117" i="66"/>
  <c r="D68" i="66"/>
  <c r="D78" i="66"/>
  <c r="F71" i="26"/>
  <c r="D54" i="66"/>
  <c r="I54" i="66"/>
  <c r="I117" i="66"/>
  <c r="O145" i="66"/>
  <c r="C112" i="143"/>
  <c r="E71" i="66"/>
  <c r="E78" i="66" s="1"/>
  <c r="C71" i="66"/>
  <c r="C78" i="66" s="1"/>
  <c r="P74" i="43"/>
  <c r="D39" i="137" s="1"/>
  <c r="P20" i="23"/>
  <c r="P20" i="18"/>
  <c r="G30" i="2"/>
  <c r="G32" i="2" s="1"/>
  <c r="K14" i="66"/>
  <c r="C111" i="143"/>
  <c r="I25" i="2"/>
  <c r="L73" i="11" l="1"/>
  <c r="M73" i="11" s="1"/>
  <c r="N73" i="11" s="1"/>
  <c r="Q10" i="11"/>
  <c r="N97" i="66"/>
  <c r="L93" i="43"/>
  <c r="M93" i="43" s="1"/>
  <c r="N93" i="43" s="1"/>
  <c r="N73" i="66"/>
  <c r="D90" i="137"/>
  <c r="O8" i="60"/>
  <c r="D34" i="137"/>
  <c r="P84" i="43"/>
  <c r="D97" i="141"/>
  <c r="D129" i="141"/>
  <c r="D128" i="141"/>
  <c r="D127" i="141"/>
  <c r="I41" i="141"/>
  <c r="I40" i="141"/>
  <c r="I42" i="141"/>
  <c r="O15" i="24"/>
  <c r="O14" i="171" s="1"/>
  <c r="L64" i="24"/>
  <c r="M64" i="24" s="1"/>
  <c r="N64" i="24" s="1"/>
  <c r="G40" i="141"/>
  <c r="G42" i="141"/>
  <c r="G41" i="141"/>
  <c r="C41" i="141"/>
  <c r="C40" i="141"/>
  <c r="C42" i="141"/>
  <c r="H42" i="141"/>
  <c r="H41" i="141"/>
  <c r="H40" i="141"/>
  <c r="K42" i="141"/>
  <c r="K41" i="141"/>
  <c r="K40" i="141"/>
  <c r="O10" i="49"/>
  <c r="L47" i="49" s="1"/>
  <c r="M47" i="49" s="1"/>
  <c r="N47" i="49" s="1"/>
  <c r="D110" i="137"/>
  <c r="O144" i="66"/>
  <c r="O246" i="66" s="1"/>
  <c r="D16" i="167"/>
  <c r="G63" i="141"/>
  <c r="G64" i="141"/>
  <c r="G62" i="141"/>
  <c r="E107" i="141"/>
  <c r="E75" i="141"/>
  <c r="E108" i="141"/>
  <c r="E106" i="141"/>
  <c r="G55" i="141"/>
  <c r="L50" i="30"/>
  <c r="O19" i="30"/>
  <c r="N41" i="35"/>
  <c r="J55" i="141"/>
  <c r="C63" i="141"/>
  <c r="C62" i="141"/>
  <c r="C64" i="141"/>
  <c r="L77" i="141"/>
  <c r="L54" i="141"/>
  <c r="L32" i="141" s="1"/>
  <c r="L33" i="141" s="1"/>
  <c r="I63" i="141"/>
  <c r="I64" i="141"/>
  <c r="I62" i="141"/>
  <c r="L85" i="141"/>
  <c r="L86" i="141"/>
  <c r="L53" i="141"/>
  <c r="L31" i="141" s="1"/>
  <c r="L84" i="141"/>
  <c r="B107" i="141"/>
  <c r="B108" i="141"/>
  <c r="B106" i="141"/>
  <c r="N37" i="40"/>
  <c r="K55" i="141"/>
  <c r="K63" i="141"/>
  <c r="K64" i="141"/>
  <c r="K62" i="141"/>
  <c r="H55" i="141"/>
  <c r="H63" i="141"/>
  <c r="H62" i="141"/>
  <c r="H64" i="141"/>
  <c r="J85" i="141"/>
  <c r="J84" i="141"/>
  <c r="J86" i="141"/>
  <c r="J53" i="141"/>
  <c r="J31" i="141" s="1"/>
  <c r="I55" i="141"/>
  <c r="N47" i="8"/>
  <c r="F53" i="141"/>
  <c r="F31" i="141" s="1"/>
  <c r="F84" i="141"/>
  <c r="F85" i="141"/>
  <c r="F86" i="141"/>
  <c r="L11" i="26"/>
  <c r="N237" i="66"/>
  <c r="L70" i="26"/>
  <c r="D86" i="66"/>
  <c r="D108" i="66" s="1"/>
  <c r="D133" i="66" s="1"/>
  <c r="C86" i="66"/>
  <c r="C108" i="66" s="1"/>
  <c r="C133" i="66" s="1"/>
  <c r="E86" i="66"/>
  <c r="E108" i="66" s="1"/>
  <c r="E133" i="66" s="1"/>
  <c r="J16" i="26"/>
  <c r="A58" i="24"/>
  <c r="J71" i="26"/>
  <c r="I108" i="66"/>
  <c r="C113" i="143"/>
  <c r="C118" i="143" s="1"/>
  <c r="F8" i="26"/>
  <c r="I30" i="2"/>
  <c r="I32" i="2" s="1"/>
  <c r="C98" i="143" l="1"/>
  <c r="L246" i="66"/>
  <c r="L248" i="66" s="1"/>
  <c r="L253" i="66" s="1"/>
  <c r="L255" i="66" s="1"/>
  <c r="L46" i="60"/>
  <c r="O19" i="60"/>
  <c r="O26" i="60" s="1"/>
  <c r="B7" i="167"/>
  <c r="O15" i="171"/>
  <c r="O18" i="171" s="1"/>
  <c r="P18" i="171" s="1"/>
  <c r="L33" i="171"/>
  <c r="D49" i="137"/>
  <c r="C20" i="141"/>
  <c r="C19" i="141"/>
  <c r="C18" i="141"/>
  <c r="J40" i="141"/>
  <c r="J41" i="141"/>
  <c r="J42" i="141"/>
  <c r="I18" i="141"/>
  <c r="I19" i="141"/>
  <c r="I20" i="141"/>
  <c r="H19" i="141"/>
  <c r="L71" i="15" s="1"/>
  <c r="H18" i="141"/>
  <c r="H20" i="141"/>
  <c r="F42" i="141"/>
  <c r="F41" i="141"/>
  <c r="F40" i="141"/>
  <c r="L40" i="141"/>
  <c r="L41" i="141"/>
  <c r="L42" i="141"/>
  <c r="K20" i="141"/>
  <c r="K19" i="141"/>
  <c r="K18" i="141"/>
  <c r="L32" i="9" s="1"/>
  <c r="G19" i="141"/>
  <c r="G18" i="141"/>
  <c r="G20" i="141"/>
  <c r="D75" i="141"/>
  <c r="D108" i="141"/>
  <c r="D106" i="141"/>
  <c r="D107" i="141"/>
  <c r="L13" i="26"/>
  <c r="L16" i="26" s="1"/>
  <c r="B15" i="133"/>
  <c r="F63" i="141"/>
  <c r="F64" i="141"/>
  <c r="F62" i="141"/>
  <c r="L63" i="141"/>
  <c r="L62" i="141"/>
  <c r="L64" i="141"/>
  <c r="M50" i="30"/>
  <c r="N50" i="30" s="1"/>
  <c r="L71" i="30"/>
  <c r="M71" i="30" s="1"/>
  <c r="N71" i="30" s="1"/>
  <c r="N53" i="11"/>
  <c r="L61" i="60"/>
  <c r="M61" i="60" s="1"/>
  <c r="N61" i="60" s="1"/>
  <c r="M46" i="60"/>
  <c r="N46" i="60" s="1"/>
  <c r="J63" i="141"/>
  <c r="J64" i="141"/>
  <c r="J62" i="141"/>
  <c r="E85" i="141"/>
  <c r="E53" i="141"/>
  <c r="E31" i="141" s="1"/>
  <c r="E84" i="141"/>
  <c r="E86" i="141"/>
  <c r="L55" i="141"/>
  <c r="O36" i="30"/>
  <c r="M14" i="66"/>
  <c r="K6" i="66"/>
  <c r="I133" i="66"/>
  <c r="I248" i="66" s="1"/>
  <c r="I253" i="66" s="1"/>
  <c r="C114" i="143"/>
  <c r="F9" i="26"/>
  <c r="F13" i="26" s="1"/>
  <c r="F16" i="26" s="1"/>
  <c r="Q237" i="66"/>
  <c r="Q246" i="66" s="1"/>
  <c r="Q248" i="66" s="1"/>
  <c r="Q253" i="66" s="1"/>
  <c r="N246" i="66"/>
  <c r="C120" i="143"/>
  <c r="C121" i="143" s="1"/>
  <c r="H13" i="26"/>
  <c r="H16" i="26" s="1"/>
  <c r="M16" i="26" l="1"/>
  <c r="N16" i="26" s="1"/>
  <c r="M33" i="171"/>
  <c r="N33" i="171" s="1"/>
  <c r="L36" i="171"/>
  <c r="M36" i="171" s="1"/>
  <c r="N36" i="171" s="1"/>
  <c r="Q18" i="171"/>
  <c r="M122" i="66"/>
  <c r="F19" i="141"/>
  <c r="F20" i="141"/>
  <c r="F18" i="141"/>
  <c r="J18" i="141"/>
  <c r="J20" i="141"/>
  <c r="J19" i="141"/>
  <c r="D84" i="141"/>
  <c r="D86" i="141"/>
  <c r="D85" i="141"/>
  <c r="D53" i="141"/>
  <c r="E42" i="141"/>
  <c r="E41" i="141"/>
  <c r="E40" i="141"/>
  <c r="L18" i="141"/>
  <c r="L20" i="141"/>
  <c r="L19" i="141"/>
  <c r="N38" i="49"/>
  <c r="L69" i="43"/>
  <c r="N69" i="43" s="1"/>
  <c r="O9" i="43" s="1"/>
  <c r="N48" i="34"/>
  <c r="N32" i="33"/>
  <c r="N47" i="38"/>
  <c r="N52" i="38" s="1"/>
  <c r="O9" i="38" s="1"/>
  <c r="D89" i="137"/>
  <c r="D96" i="137"/>
  <c r="O9" i="11"/>
  <c r="Q9" i="11" s="1"/>
  <c r="N67" i="11"/>
  <c r="M59" i="66"/>
  <c r="P26" i="60"/>
  <c r="D19" i="137"/>
  <c r="O9" i="35"/>
  <c r="M6" i="66"/>
  <c r="N32" i="9"/>
  <c r="M38" i="66"/>
  <c r="P36" i="30"/>
  <c r="D28" i="137"/>
  <c r="O9" i="40"/>
  <c r="E63" i="141"/>
  <c r="E62" i="141"/>
  <c r="E64" i="141"/>
  <c r="D63" i="137"/>
  <c r="O9" i="44"/>
  <c r="N71" i="15"/>
  <c r="C97" i="143"/>
  <c r="B14" i="133"/>
  <c r="B16" i="133" s="1"/>
  <c r="N14" i="66"/>
  <c r="I6" i="66"/>
  <c r="F28" i="66"/>
  <c r="G6" i="66"/>
  <c r="G28" i="66" s="1"/>
  <c r="F78" i="26"/>
  <c r="F90" i="26" s="1"/>
  <c r="N59" i="66" l="1"/>
  <c r="N38" i="66"/>
  <c r="N6" i="66"/>
  <c r="L45" i="40"/>
  <c r="M45" i="40" s="1"/>
  <c r="N45" i="40" s="1"/>
  <c r="O13" i="40"/>
  <c r="N122" i="66"/>
  <c r="E19" i="141"/>
  <c r="E20" i="141"/>
  <c r="L75" i="12" s="1"/>
  <c r="E18" i="141"/>
  <c r="D31" i="141"/>
  <c r="D63" i="141"/>
  <c r="D62" i="141"/>
  <c r="D64" i="141"/>
  <c r="D69" i="137"/>
  <c r="O9" i="17"/>
  <c r="N92" i="15"/>
  <c r="N94" i="15" s="1"/>
  <c r="D24" i="137"/>
  <c r="D93" i="137"/>
  <c r="O9" i="9"/>
  <c r="D12" i="137"/>
  <c r="O9" i="33"/>
  <c r="L72" i="11"/>
  <c r="O15" i="11"/>
  <c r="D15" i="137"/>
  <c r="N51" i="34"/>
  <c r="O8" i="34" s="1"/>
  <c r="O19" i="44"/>
  <c r="L48" i="44"/>
  <c r="P69" i="43"/>
  <c r="D109" i="137"/>
  <c r="O9" i="49"/>
  <c r="L56" i="8"/>
  <c r="O22" i="8"/>
  <c r="L54" i="35"/>
  <c r="O16" i="35"/>
  <c r="Q14" i="66"/>
  <c r="G7" i="167" s="1"/>
  <c r="H71" i="26"/>
  <c r="D20" i="141" l="1"/>
  <c r="N75" i="12" s="1"/>
  <c r="D18" i="141"/>
  <c r="D19" i="141"/>
  <c r="D41" i="141"/>
  <c r="D40" i="141"/>
  <c r="D42" i="141"/>
  <c r="L46" i="49"/>
  <c r="O13" i="49"/>
  <c r="P19" i="44"/>
  <c r="P34" i="44" s="1"/>
  <c r="O34" i="44"/>
  <c r="L57" i="34"/>
  <c r="O16" i="34"/>
  <c r="L38" i="9"/>
  <c r="O11" i="9"/>
  <c r="O33" i="35"/>
  <c r="L92" i="43"/>
  <c r="M54" i="35"/>
  <c r="N54" i="35" s="1"/>
  <c r="L75" i="35"/>
  <c r="M75" i="35" s="1"/>
  <c r="N75" i="35" s="1"/>
  <c r="D33" i="137"/>
  <c r="P86" i="43"/>
  <c r="O44" i="11"/>
  <c r="L57" i="38"/>
  <c r="M72" i="11"/>
  <c r="N72" i="11" s="1"/>
  <c r="J101" i="11"/>
  <c r="K101" i="11" s="1"/>
  <c r="N101" i="11" s="1"/>
  <c r="L37" i="33"/>
  <c r="O11" i="33"/>
  <c r="O39" i="8"/>
  <c r="O9" i="15"/>
  <c r="L63" i="17"/>
  <c r="L103" i="17" s="1"/>
  <c r="O16" i="17"/>
  <c r="O55" i="17" s="1"/>
  <c r="P55" i="17" s="1"/>
  <c r="M56" i="8"/>
  <c r="N56" i="8" s="1"/>
  <c r="L81" i="8"/>
  <c r="L67" i="44"/>
  <c r="M67" i="44" s="1"/>
  <c r="N67" i="44" s="1"/>
  <c r="M48" i="44"/>
  <c r="N48" i="44" s="1"/>
  <c r="D7" i="167"/>
  <c r="Q7" i="167" s="1"/>
  <c r="G12" i="167"/>
  <c r="Q28" i="66"/>
  <c r="Q252" i="66" s="1"/>
  <c r="Q255" i="66" s="1"/>
  <c r="L48" i="26"/>
  <c r="O6" i="66"/>
  <c r="N60" i="66" l="1"/>
  <c r="O17" i="15"/>
  <c r="P17" i="15" s="1"/>
  <c r="N71" i="66" s="1"/>
  <c r="N78" i="66" s="1"/>
  <c r="D118" i="137"/>
  <c r="N83" i="12"/>
  <c r="O9" i="12"/>
  <c r="P39" i="8"/>
  <c r="M92" i="43"/>
  <c r="N92" i="43" s="1"/>
  <c r="M81" i="8"/>
  <c r="N81" i="8" s="1"/>
  <c r="O28" i="43"/>
  <c r="O59" i="43" s="1"/>
  <c r="M82" i="66"/>
  <c r="L52" i="9"/>
  <c r="M52" i="9" s="1"/>
  <c r="N52" i="9" s="1"/>
  <c r="M38" i="9"/>
  <c r="N38" i="9" s="1"/>
  <c r="L80" i="38"/>
  <c r="M80" i="38" s="1"/>
  <c r="N80" i="38" s="1"/>
  <c r="M57" i="38"/>
  <c r="N57" i="38" s="1"/>
  <c r="O42" i="34"/>
  <c r="O27" i="33"/>
  <c r="O18" i="38"/>
  <c r="L83" i="34"/>
  <c r="M83" i="34" s="1"/>
  <c r="N83" i="34" s="1"/>
  <c r="M57" i="34"/>
  <c r="N57" i="34" s="1"/>
  <c r="L52" i="33"/>
  <c r="M52" i="33" s="1"/>
  <c r="N52" i="33" s="1"/>
  <c r="M37" i="33"/>
  <c r="N37" i="33" s="1"/>
  <c r="P44" i="11"/>
  <c r="M89" i="66"/>
  <c r="M60" i="66"/>
  <c r="G13" i="167"/>
  <c r="G20" i="167"/>
  <c r="M103" i="17"/>
  <c r="N103" i="17" s="1"/>
  <c r="M63" i="17"/>
  <c r="N63" i="17" s="1"/>
  <c r="L97" i="43"/>
  <c r="M44" i="66"/>
  <c r="C5" i="107"/>
  <c r="P33" i="35"/>
  <c r="O29" i="49"/>
  <c r="L22" i="144"/>
  <c r="O26" i="9"/>
  <c r="L59" i="49"/>
  <c r="M59" i="49" s="1"/>
  <c r="N59" i="49" s="1"/>
  <c r="M46" i="49"/>
  <c r="N46" i="49" s="1"/>
  <c r="L54" i="26"/>
  <c r="M56" i="26" s="1"/>
  <c r="B20" i="133"/>
  <c r="H48" i="26"/>
  <c r="H54" i="26" s="1"/>
  <c r="O14" i="12" l="1"/>
  <c r="N82" i="66"/>
  <c r="O60" i="15"/>
  <c r="M71" i="66"/>
  <c r="M78" i="66" s="1"/>
  <c r="N89" i="66"/>
  <c r="N44" i="66"/>
  <c r="L89" i="12"/>
  <c r="C23" i="170"/>
  <c r="C28" i="170" s="1"/>
  <c r="C29" i="170" s="1"/>
  <c r="C42" i="170" s="1"/>
  <c r="S11" i="26"/>
  <c r="N53" i="26"/>
  <c r="N52" i="26"/>
  <c r="N51" i="26"/>
  <c r="P28" i="43"/>
  <c r="M57" i="66"/>
  <c r="M68" i="66" s="1"/>
  <c r="P59" i="43"/>
  <c r="M90" i="66"/>
  <c r="M94" i="66" s="1"/>
  <c r="P29" i="49"/>
  <c r="P60" i="15"/>
  <c r="O38" i="38"/>
  <c r="C4" i="107"/>
  <c r="M41" i="66"/>
  <c r="P27" i="33"/>
  <c r="N41" i="66" s="1"/>
  <c r="G37" i="167"/>
  <c r="G38" i="167" s="1"/>
  <c r="G21" i="167"/>
  <c r="P42" i="34"/>
  <c r="M42" i="66"/>
  <c r="D5" i="107"/>
  <c r="C24" i="107"/>
  <c r="D24" i="107" s="1"/>
  <c r="L138" i="43"/>
  <c r="M97" i="43"/>
  <c r="N97" i="43" s="1"/>
  <c r="M83" i="66"/>
  <c r="M86" i="66" s="1"/>
  <c r="P26" i="9"/>
  <c r="M8" i="66"/>
  <c r="C100" i="143"/>
  <c r="J48" i="26"/>
  <c r="J78" i="26" s="1"/>
  <c r="I8" i="66"/>
  <c r="C29" i="133"/>
  <c r="C32" i="133" s="1"/>
  <c r="C33" i="133" s="1"/>
  <c r="C35" i="133" s="1"/>
  <c r="H78" i="26"/>
  <c r="O62" i="15" l="1"/>
  <c r="P62" i="15" s="1"/>
  <c r="N90" i="66"/>
  <c r="N94" i="66" s="1"/>
  <c r="O117" i="66"/>
  <c r="D58" i="170"/>
  <c r="N57" i="66"/>
  <c r="N68" i="66" s="1"/>
  <c r="N42" i="66"/>
  <c r="N83" i="66"/>
  <c r="N86" i="66" s="1"/>
  <c r="D3" i="167"/>
  <c r="O14" i="4"/>
  <c r="O15" i="4" s="1"/>
  <c r="M89" i="12"/>
  <c r="N89" i="12" s="1"/>
  <c r="M138" i="43"/>
  <c r="N138" i="43" s="1"/>
  <c r="P38" i="38"/>
  <c r="M48" i="66"/>
  <c r="C23" i="107"/>
  <c r="D23" i="107" s="1"/>
  <c r="D30" i="107" s="1"/>
  <c r="O39" i="24" s="1"/>
  <c r="D4" i="107"/>
  <c r="D12" i="107" s="1"/>
  <c r="O53" i="12" s="1"/>
  <c r="O59" i="12" s="1"/>
  <c r="O64" i="12" s="1"/>
  <c r="M17" i="66"/>
  <c r="B24" i="133"/>
  <c r="B27" i="133" s="1"/>
  <c r="B29" i="133" s="1"/>
  <c r="D33" i="133" s="1"/>
  <c r="B32" i="133" s="1"/>
  <c r="L71" i="26"/>
  <c r="J54" i="26"/>
  <c r="C101" i="143"/>
  <c r="C104" i="143" s="1"/>
  <c r="D105" i="143" s="1"/>
  <c r="H90" i="26"/>
  <c r="G52" i="15"/>
  <c r="G55" i="15" s="1"/>
  <c r="G60" i="15" s="1"/>
  <c r="M19" i="144" l="1"/>
  <c r="M32" i="144" s="1"/>
  <c r="N48" i="66"/>
  <c r="N17" i="66"/>
  <c r="R17" i="66" s="1"/>
  <c r="R28" i="66" s="1"/>
  <c r="R252" i="66" s="1"/>
  <c r="R255" i="66" s="1"/>
  <c r="L33" i="4"/>
  <c r="O18" i="4"/>
  <c r="L128" i="12"/>
  <c r="M128" i="12" s="1"/>
  <c r="N128" i="12" s="1"/>
  <c r="L91" i="24"/>
  <c r="O40" i="24"/>
  <c r="L78" i="26"/>
  <c r="S12" i="26"/>
  <c r="S13" i="26" s="1"/>
  <c r="S14" i="26" s="1"/>
  <c r="B33" i="133"/>
  <c r="B35" i="133" s="1"/>
  <c r="K8" i="66"/>
  <c r="N8" i="66"/>
  <c r="I28" i="66"/>
  <c r="I252" i="66" s="1"/>
  <c r="I255" i="66" s="1"/>
  <c r="G71" i="66"/>
  <c r="M78" i="26" l="1"/>
  <c r="M79" i="26" s="1"/>
  <c r="M31" i="26"/>
  <c r="M22" i="144"/>
  <c r="L134" i="12"/>
  <c r="L92" i="24"/>
  <c r="M91" i="24"/>
  <c r="N91" i="24" s="1"/>
  <c r="L36" i="4"/>
  <c r="M36" i="4" s="1"/>
  <c r="N36" i="4" s="1"/>
  <c r="M33" i="4"/>
  <c r="N33" i="4" s="1"/>
  <c r="M28" i="144"/>
  <c r="P18" i="4"/>
  <c r="M115" i="66"/>
  <c r="N115" i="66" s="1"/>
  <c r="O42" i="24"/>
  <c r="O14" i="13"/>
  <c r="Q13" i="13"/>
  <c r="Q14" i="13" s="1"/>
  <c r="O8" i="66"/>
  <c r="O28" i="66" s="1"/>
  <c r="O252" i="66" s="1"/>
  <c r="G78" i="66"/>
  <c r="G86" i="66" s="1"/>
  <c r="D34" i="133"/>
  <c r="D35" i="133" s="1"/>
  <c r="D61" i="170" l="1"/>
  <c r="E61" i="170" s="1"/>
  <c r="D60" i="170"/>
  <c r="E60" i="170" s="1"/>
  <c r="A59" i="24"/>
  <c r="A60" i="24" s="1"/>
  <c r="M128" i="66"/>
  <c r="P65" i="12"/>
  <c r="M111" i="66"/>
  <c r="I24" i="107" s="1"/>
  <c r="O65" i="12"/>
  <c r="N111" i="66"/>
  <c r="N117" i="66" s="1"/>
  <c r="P42" i="24"/>
  <c r="M120" i="66"/>
  <c r="O19" i="13"/>
  <c r="P14" i="13"/>
  <c r="M134" i="12"/>
  <c r="N134" i="12" s="1"/>
  <c r="O66" i="6"/>
  <c r="M25" i="144"/>
  <c r="M30" i="144" s="1"/>
  <c r="M33" i="144" s="1"/>
  <c r="G108" i="66"/>
  <c r="G133" i="66" s="1"/>
  <c r="N128" i="66" l="1"/>
  <c r="B10" i="167"/>
  <c r="D10" i="167" s="1"/>
  <c r="Q10" i="167" s="1"/>
  <c r="N129" i="66"/>
  <c r="O128" i="66"/>
  <c r="O129" i="66" s="1"/>
  <c r="M129" i="66"/>
  <c r="K59" i="24"/>
  <c r="P19" i="13"/>
  <c r="O21" i="13"/>
  <c r="P21" i="13" s="1"/>
  <c r="I25" i="107"/>
  <c r="N120" i="66"/>
  <c r="N124" i="66" s="1"/>
  <c r="M124" i="66"/>
  <c r="M34" i="144"/>
  <c r="M35" i="144" s="1"/>
  <c r="M36" i="144"/>
  <c r="B6" i="167"/>
  <c r="M117" i="66"/>
  <c r="D29" i="137"/>
  <c r="G25" i="107" l="1"/>
  <c r="V124" i="66"/>
  <c r="B8" i="167"/>
  <c r="G24" i="107"/>
  <c r="U117" i="66"/>
  <c r="L46" i="40"/>
  <c r="L64" i="40" s="1"/>
  <c r="M64" i="40" s="1"/>
  <c r="N64" i="40" s="1"/>
  <c r="V133" i="66" l="1"/>
  <c r="F8" i="167"/>
  <c r="U133" i="66"/>
  <c r="U248" i="66" s="1"/>
  <c r="L86" i="26" s="1"/>
  <c r="E6" i="167"/>
  <c r="O31" i="40"/>
  <c r="M46" i="40"/>
  <c r="N46" i="40"/>
  <c r="E12" i="167" l="1"/>
  <c r="E20" i="167" s="1"/>
  <c r="E37" i="167" s="1"/>
  <c r="D6" i="167"/>
  <c r="U253" i="66"/>
  <c r="P31" i="40"/>
  <c r="N49" i="66" s="1"/>
  <c r="N54" i="66" s="1"/>
  <c r="N108" i="66" s="1"/>
  <c r="N133" i="66" s="1"/>
  <c r="M49" i="66"/>
  <c r="M54" i="66" s="1"/>
  <c r="Q6" i="167" l="1"/>
  <c r="M108" i="66"/>
  <c r="M133" i="66" s="1"/>
  <c r="M248" i="66" s="1"/>
  <c r="M253" i="66" s="1"/>
  <c r="I23" i="107" l="1"/>
  <c r="I26" i="107" s="1"/>
  <c r="J23" i="107" s="1"/>
  <c r="G23" i="107"/>
  <c r="B2" i="66" l="1"/>
  <c r="N248" i="66"/>
  <c r="N253" i="66" s="1"/>
  <c r="O108" i="66"/>
  <c r="B5" i="167"/>
  <c r="J25" i="107"/>
  <c r="K25" i="107" s="1"/>
  <c r="J24" i="107"/>
  <c r="K24" i="107" s="1"/>
  <c r="G26" i="107"/>
  <c r="H23" i="107" s="1"/>
  <c r="D5" i="167" l="1"/>
  <c r="Q5" i="167" s="1"/>
  <c r="B12" i="167"/>
  <c r="B20" i="167" s="1"/>
  <c r="B37" i="167" s="1"/>
  <c r="H24" i="107"/>
  <c r="H25" i="107"/>
  <c r="O133" i="66"/>
  <c r="O248" i="66" s="1"/>
  <c r="O253" i="66" s="1"/>
  <c r="O255" i="66" s="1"/>
  <c r="K27" i="66"/>
  <c r="J90" i="26"/>
  <c r="K26" i="66"/>
  <c r="M26" i="66"/>
  <c r="C34" i="167" l="1"/>
  <c r="C26" i="167"/>
  <c r="C10" i="167"/>
  <c r="C25" i="167"/>
  <c r="C9" i="167"/>
  <c r="C24" i="167"/>
  <c r="C8" i="167"/>
  <c r="C16" i="167"/>
  <c r="C33" i="167"/>
  <c r="C32" i="167"/>
  <c r="C31" i="167"/>
  <c r="C23" i="167"/>
  <c r="C7" i="167"/>
  <c r="C18" i="167"/>
  <c r="C6" i="167"/>
  <c r="C17" i="167"/>
  <c r="C15" i="167"/>
  <c r="C30" i="167"/>
  <c r="C29" i="167"/>
  <c r="C28" i="167"/>
  <c r="C27" i="167"/>
  <c r="C5" i="167"/>
  <c r="O258" i="66"/>
  <c r="V248" i="66"/>
  <c r="F12" i="167"/>
  <c r="F20" i="167" s="1"/>
  <c r="F37" i="167" s="1"/>
  <c r="K28" i="66"/>
  <c r="N26" i="66"/>
  <c r="E3" i="167" l="1"/>
  <c r="M6" i="144"/>
  <c r="V253" i="66"/>
  <c r="D8" i="167"/>
  <c r="L88" i="26"/>
  <c r="L90" i="26" s="1"/>
  <c r="K252" i="66"/>
  <c r="K255" i="66" s="1"/>
  <c r="K31" i="66"/>
  <c r="U26" i="66"/>
  <c r="U28" i="66" s="1"/>
  <c r="E21" i="167" l="1"/>
  <c r="E13" i="167"/>
  <c r="E38" i="167"/>
  <c r="Q8" i="167"/>
  <c r="Q12" i="167" s="1"/>
  <c r="D12" i="167"/>
  <c r="M27" i="66"/>
  <c r="U252" i="66"/>
  <c r="U255" i="66" s="1"/>
  <c r="N27" i="66" l="1"/>
  <c r="M28" i="66"/>
  <c r="M252" i="66" s="1"/>
  <c r="M255" i="66" s="1"/>
  <c r="Q20" i="167"/>
  <c r="Q13" i="167"/>
  <c r="D13" i="167"/>
  <c r="D20" i="167"/>
  <c r="D37" i="167" s="1"/>
  <c r="D38" i="167" s="1"/>
  <c r="N28" i="66" l="1"/>
  <c r="N31" i="66" s="1"/>
  <c r="F3" i="167"/>
  <c r="F21" i="167" s="1"/>
  <c r="V27" i="66"/>
  <c r="V28" i="66" s="1"/>
  <c r="V252" i="66" s="1"/>
  <c r="V255" i="66" s="1"/>
  <c r="M31" i="66"/>
  <c r="Q37" i="167"/>
  <c r="Q38" i="167" s="1"/>
  <c r="Q21" i="167"/>
  <c r="D21" i="167"/>
  <c r="F38" i="167" l="1"/>
  <c r="N29" i="66"/>
  <c r="N252" i="66"/>
  <c r="N255" i="66" s="1"/>
  <c r="F13" i="167"/>
  <c r="M92" i="24" l="1"/>
  <c r="N92" i="24" s="1"/>
</calcChain>
</file>

<file path=xl/sharedStrings.xml><?xml version="1.0" encoding="utf-8"?>
<sst xmlns="http://schemas.openxmlformats.org/spreadsheetml/2006/main" count="6870" uniqueCount="1982">
  <si>
    <t>P/T Wages Forest Warden</t>
  </si>
  <si>
    <t>TREE WARDEN</t>
  </si>
  <si>
    <t>Dept # 299</t>
  </si>
  <si>
    <t>TOTAL TREE WARDEN</t>
  </si>
  <si>
    <t>General Category: General Government</t>
  </si>
  <si>
    <t>UTILITIES</t>
  </si>
  <si>
    <t>Dept # 190</t>
  </si>
  <si>
    <t>Level</t>
  </si>
  <si>
    <t>Services</t>
  </si>
  <si>
    <t>Request</t>
  </si>
  <si>
    <t>5214-193</t>
  </si>
  <si>
    <t>Propane-15 Center St</t>
  </si>
  <si>
    <t>Streetscape Maintenance</t>
  </si>
  <si>
    <t>5214-211</t>
  </si>
  <si>
    <t>P/T Wages Custodial</t>
  </si>
  <si>
    <t>5211-211</t>
  </si>
  <si>
    <t>Electricity - Police Station</t>
  </si>
  <si>
    <t>5231-211</t>
  </si>
  <si>
    <t>Water - Police Station</t>
  </si>
  <si>
    <t>5232-211</t>
  </si>
  <si>
    <t>Sewer - Police Station</t>
  </si>
  <si>
    <t>Patriot Software Contract</t>
  </si>
  <si>
    <t>Website Address Reg/Security Cert</t>
  </si>
  <si>
    <t>Food</t>
  </si>
  <si>
    <t>5211-433</t>
  </si>
  <si>
    <t>5211-652</t>
  </si>
  <si>
    <t>5211-193</t>
  </si>
  <si>
    <t>Electricity - 15 Center St</t>
  </si>
  <si>
    <t>5232-193</t>
  </si>
  <si>
    <t>Sewer - 15 Center St</t>
  </si>
  <si>
    <t>Bulky Waste Removal</t>
  </si>
  <si>
    <t>Public Health Nurse Service</t>
  </si>
  <si>
    <t>Full-Time</t>
  </si>
  <si>
    <t>Hourly</t>
  </si>
  <si>
    <t>Hours</t>
  </si>
  <si>
    <t>S/T Interest Police Station</t>
  </si>
  <si>
    <t>CSO MWPAT #05-22 $957,448</t>
  </si>
  <si>
    <t>CSO MWPAT #05-22A $1,911,052</t>
  </si>
  <si>
    <t>CSO USDA #91-16 $1,024,000</t>
  </si>
  <si>
    <t>CSO MWPAT #05-22 $957,448 Adm</t>
  </si>
  <si>
    <t>CSO MWPAT #05-22A $1,911,052 Adm</t>
  </si>
  <si>
    <t>Actuals</t>
  </si>
  <si>
    <t>MWPAT #94-26 $907,181</t>
  </si>
  <si>
    <t>CSO MWPAT #01-33 $179,059</t>
  </si>
  <si>
    <t>MWPAT #94-26 $907,181 Admn</t>
  </si>
  <si>
    <t>CSO MWPAT #01-33 $179,059 Admn</t>
  </si>
  <si>
    <t>Town Clerk BOR Stipend</t>
  </si>
  <si>
    <t>Wages P/T Temp</t>
  </si>
  <si>
    <t>Employee Assistance Program</t>
  </si>
  <si>
    <t>FRCOG Emerg Communications</t>
  </si>
  <si>
    <t>A</t>
  </si>
  <si>
    <t>B</t>
  </si>
  <si>
    <t>C</t>
  </si>
  <si>
    <t>Incent</t>
  </si>
  <si>
    <t>Shared Telephone Exp</t>
  </si>
  <si>
    <t xml:space="preserve">P/T Wages Temp </t>
  </si>
  <si>
    <t>Out of District Tech Transport</t>
  </si>
  <si>
    <t>Shift Differential incl Beeper Pay 07+</t>
  </si>
  <si>
    <t>TOTAL PUBLIC BLDG UTILITIES</t>
  </si>
  <si>
    <t>5211-422</t>
  </si>
  <si>
    <t>5211-192</t>
  </si>
  <si>
    <t>5213-422</t>
  </si>
  <si>
    <t>5214-652</t>
  </si>
  <si>
    <t>5231-192</t>
  </si>
  <si>
    <t>5231-422</t>
  </si>
  <si>
    <t>5231-433</t>
  </si>
  <si>
    <t>5231-652</t>
  </si>
  <si>
    <t>5232-192</t>
  </si>
  <si>
    <t>5232-422</t>
  </si>
  <si>
    <t>5232-652</t>
  </si>
  <si>
    <t>Electricity- Town Hall</t>
  </si>
  <si>
    <t>Electricity- DPW</t>
  </si>
  <si>
    <t>Electricity-Landfill</t>
  </si>
  <si>
    <t>Electricity-Unity Park</t>
  </si>
  <si>
    <t>Heating Oil-DPW</t>
  </si>
  <si>
    <t>Water-Town Hall</t>
  </si>
  <si>
    <t>Water-DPW</t>
  </si>
  <si>
    <t>FY14</t>
  </si>
  <si>
    <t>TFFD Shift</t>
  </si>
  <si>
    <t>35 hr TH</t>
  </si>
  <si>
    <t>40 hr DPW</t>
  </si>
  <si>
    <t>Water-Landfill</t>
  </si>
  <si>
    <t>Water-Unity Park</t>
  </si>
  <si>
    <t>Sewer-Town Hall</t>
  </si>
  <si>
    <t>Sewer-Unity Park</t>
  </si>
  <si>
    <t>Grade/Step</t>
  </si>
  <si>
    <t xml:space="preserve">F/T Wages OT </t>
  </si>
  <si>
    <t>CONSTRUCTION/MAINTENANCE</t>
  </si>
  <si>
    <t>Dept # 491</t>
  </si>
  <si>
    <t>Software Program Support</t>
  </si>
  <si>
    <t>Poster Distribution</t>
  </si>
  <si>
    <t>WPCF Overhead Paid to Town</t>
  </si>
  <si>
    <t>Audit</t>
  </si>
  <si>
    <t>Town Adm</t>
  </si>
  <si>
    <t>Stipend</t>
  </si>
  <si>
    <t>Salary</t>
  </si>
  <si>
    <t>Office Supplies-Tags/Licenses</t>
  </si>
  <si>
    <t>Landfill Monitoring</t>
  </si>
  <si>
    <t>Colle RRA</t>
  </si>
  <si>
    <t>Receipts Res for Approp</t>
  </si>
  <si>
    <t>GRAND TOTAL GENERAL FUND</t>
  </si>
  <si>
    <t xml:space="preserve">Part Time Temp Wages </t>
  </si>
  <si>
    <t>Part Time Temp Wages</t>
  </si>
  <si>
    <t>1st Registrar</t>
  </si>
  <si>
    <t>2nd Registrar</t>
  </si>
  <si>
    <t>3rd Registrar</t>
  </si>
  <si>
    <t>Annual</t>
  </si>
  <si>
    <t>Director of Assessing</t>
  </si>
  <si>
    <t>P/T Salaries - EM Director</t>
  </si>
  <si>
    <t>From BOA Schedule DE-1, Debt Exclusion Form</t>
  </si>
  <si>
    <t>Ballot Date/Purpose</t>
  </si>
  <si>
    <t>Date Issued</t>
  </si>
  <si>
    <t>T/P</t>
  </si>
  <si>
    <t>Debt Expended</t>
  </si>
  <si>
    <t>Reimb/</t>
  </si>
  <si>
    <t>SOURCES</t>
  </si>
  <si>
    <t>NET LEVY</t>
  </si>
  <si>
    <t>STATE AID (NET OF CHARGES)</t>
  </si>
  <si>
    <t>LOCAL RECEIPTS</t>
  </si>
  <si>
    <t>FREE CASH</t>
  </si>
  <si>
    <t>OTHER AVAILABLE FUNDS</t>
  </si>
  <si>
    <t>TOTAL ESTIMATED SOURCES</t>
  </si>
  <si>
    <t>TOTAL ESTIMATED USES</t>
  </si>
  <si>
    <t>SUMMARY</t>
  </si>
  <si>
    <t>ESTIMATED SHORTFALL</t>
  </si>
  <si>
    <t>Prior Year Limit</t>
  </si>
  <si>
    <t>Pool Expenses - GMRSD</t>
  </si>
  <si>
    <t>Actual</t>
  </si>
  <si>
    <t>EXPENDITURES</t>
  </si>
  <si>
    <t>Elected Officials</t>
  </si>
  <si>
    <t>TOTAL PERSONAL SERVICES</t>
  </si>
  <si>
    <t>Custodial Services</t>
  </si>
  <si>
    <t>Other Professional &amp; Technical</t>
  </si>
  <si>
    <t>In-State Travel</t>
  </si>
  <si>
    <t>Dues and Memberships</t>
  </si>
  <si>
    <t>Other Equipment</t>
  </si>
  <si>
    <t>TOTAL CAPITAL OUTLAY</t>
  </si>
  <si>
    <t>TOTAL</t>
  </si>
  <si>
    <t>Office Equipment R &amp; M</t>
  </si>
  <si>
    <t>Seminars</t>
  </si>
  <si>
    <t>Other Professional/Technical</t>
  </si>
  <si>
    <t>Telephone</t>
  </si>
  <si>
    <t>Postage</t>
  </si>
  <si>
    <t>Advertising</t>
  </si>
  <si>
    <t>Office Supplies</t>
  </si>
  <si>
    <t>Other Supplies</t>
  </si>
  <si>
    <t>Subscriptions/Books</t>
  </si>
  <si>
    <t>Dues &amp; Memberships</t>
  </si>
  <si>
    <t>Printing/Bookbinding</t>
  </si>
  <si>
    <t>Reserve Fund</t>
  </si>
  <si>
    <t>Computer R &amp; M</t>
  </si>
  <si>
    <t>Legal</t>
  </si>
  <si>
    <t>Registry of Deeds</t>
  </si>
  <si>
    <t>Postage Meter Rental</t>
  </si>
  <si>
    <t>Insurance</t>
  </si>
  <si>
    <t>Tax Title Foreclosure</t>
  </si>
  <si>
    <t>Labor Negotiations</t>
  </si>
  <si>
    <t>Longevity</t>
  </si>
  <si>
    <t>Updating Maps</t>
  </si>
  <si>
    <t>F/T Wages</t>
  </si>
  <si>
    <t>P/T Wages</t>
  </si>
  <si>
    <t>F/T Wages O/T</t>
  </si>
  <si>
    <t>Court Time</t>
  </si>
  <si>
    <t>Educational Incentive Pay</t>
  </si>
  <si>
    <t>Shift Differential</t>
  </si>
  <si>
    <t>Paid Holidays</t>
  </si>
  <si>
    <t>Training</t>
  </si>
  <si>
    <t>Other Equipment R &amp; M</t>
  </si>
  <si>
    <t>Meals For Prisoners</t>
  </si>
  <si>
    <t>Dry Cleaning</t>
  </si>
  <si>
    <t>Gasoline</t>
  </si>
  <si>
    <t>Medical Supplies</t>
  </si>
  <si>
    <t>Drug Investigation</t>
  </si>
  <si>
    <t>Uniforms/Clothing</t>
  </si>
  <si>
    <t>P/T Wages Building Inspector</t>
  </si>
  <si>
    <t>P/T Wages Gas Inspector</t>
  </si>
  <si>
    <t>FC</t>
  </si>
  <si>
    <t>FC Recommend</t>
  </si>
  <si>
    <t>Medicare part D Reimb</t>
  </si>
  <si>
    <t>P/T Wages Plumbing Inspector</t>
  </si>
  <si>
    <t>Total Debt</t>
  </si>
  <si>
    <t>P/T Wages Electrical Inspector</t>
  </si>
  <si>
    <t>Miscellaneous</t>
  </si>
  <si>
    <t>Vehicles R &amp; M</t>
  </si>
  <si>
    <t>Medical - Vet</t>
  </si>
  <si>
    <t>P/T Wages Temp</t>
  </si>
  <si>
    <t>Franklin Cty Tech School</t>
  </si>
  <si>
    <t>TOTAL FRANKLIN TECH</t>
  </si>
  <si>
    <t>5322-003</t>
  </si>
  <si>
    <t>TOTAL GILL-MONTAGUE</t>
  </si>
  <si>
    <t>TOTAL EDUCATION</t>
  </si>
  <si>
    <t>F/T Wages OT</t>
  </si>
  <si>
    <t>Electricity</t>
  </si>
  <si>
    <t>Heating Oil</t>
  </si>
  <si>
    <t>Water</t>
  </si>
  <si>
    <t>Sewer</t>
  </si>
  <si>
    <t>Grounds R &amp; M</t>
  </si>
  <si>
    <t>Buildings R &amp; M</t>
  </si>
  <si>
    <t>HVAC Equip R &amp; M</t>
  </si>
  <si>
    <t>Electrical</t>
  </si>
  <si>
    <t>Hand Tools</t>
  </si>
  <si>
    <t>Misc. Parts &amp; Accessories</t>
  </si>
  <si>
    <t>Cleaning Supplies</t>
  </si>
  <si>
    <t>Groundskeeping Supplies</t>
  </si>
  <si>
    <t>DOT Testing</t>
  </si>
  <si>
    <t>Hoister &amp; Other Licenses</t>
  </si>
  <si>
    <t>Rental/Lease Vehicles</t>
  </si>
  <si>
    <t>Oil &amp; Lubricants</t>
  </si>
  <si>
    <t>Diesel</t>
  </si>
  <si>
    <t>Public Works Supplies</t>
  </si>
  <si>
    <t>Sidewalk Materials</t>
  </si>
  <si>
    <t>Snow Removal Services</t>
  </si>
  <si>
    <t>Salt</t>
  </si>
  <si>
    <t>Sand</t>
  </si>
  <si>
    <t>Trees</t>
  </si>
  <si>
    <t>Solid Waste Removal</t>
  </si>
  <si>
    <t>Recyclables Removal</t>
  </si>
  <si>
    <t>111F Holiday Pay</t>
  </si>
  <si>
    <t>Beacon Lights R &amp; M</t>
  </si>
  <si>
    <t>Miscellaneous Supplies</t>
  </si>
  <si>
    <t>Ordinary Assistance</t>
  </si>
  <si>
    <t>Care &amp; Registration of Graves</t>
  </si>
  <si>
    <t>Burials</t>
  </si>
  <si>
    <t>Recreation Programs</t>
  </si>
  <si>
    <t>PO Box Rental</t>
  </si>
  <si>
    <t>Media</t>
  </si>
  <si>
    <t>Sick Leave Buy Back</t>
  </si>
  <si>
    <t>FSA General Obligation Bond</t>
  </si>
  <si>
    <t>Long Term Principal</t>
  </si>
  <si>
    <t>Long Term Interest</t>
  </si>
  <si>
    <t>752-5925</t>
  </si>
  <si>
    <t>Interest on Short Term Notes</t>
  </si>
  <si>
    <t>Short Term Interest</t>
  </si>
  <si>
    <t>Franklin Regional Council Govts</t>
  </si>
  <si>
    <t>FCSWMD</t>
  </si>
  <si>
    <t>Veterans' District</t>
  </si>
  <si>
    <t>TOTAL INTERGOVERNMENTAL</t>
  </si>
  <si>
    <t xml:space="preserve">Retirement </t>
  </si>
  <si>
    <t>Workers' Compensation</t>
  </si>
  <si>
    <t>Unemployment Compensation</t>
  </si>
  <si>
    <t>Health Insurance</t>
  </si>
  <si>
    <t>Life Insurance</t>
  </si>
  <si>
    <t>Medicare</t>
  </si>
  <si>
    <t>Auto Fleet</t>
  </si>
  <si>
    <t>Boiler &amp; Machinery</t>
  </si>
  <si>
    <t>Liability</t>
  </si>
  <si>
    <t>Public Officials</t>
  </si>
  <si>
    <t xml:space="preserve">Airport </t>
  </si>
  <si>
    <t>AIRPORT USER FEES</t>
  </si>
  <si>
    <t>Electricity TP</t>
  </si>
  <si>
    <t>Electricity PS</t>
  </si>
  <si>
    <t>Solid Waste Disposal</t>
  </si>
  <si>
    <t>Engineering/Architectual</t>
  </si>
  <si>
    <t>Other Repairs</t>
  </si>
  <si>
    <t>Collection System</t>
  </si>
  <si>
    <t>Easements</t>
  </si>
  <si>
    <t>Misc. Parts/Accessories</t>
  </si>
  <si>
    <t>Department</t>
  </si>
  <si>
    <t>General Category</t>
  </si>
  <si>
    <t>General Category : General Government</t>
  </si>
  <si>
    <t>Dept # 113</t>
  </si>
  <si>
    <t>General Category: Public Safety</t>
  </si>
  <si>
    <t>General Category: Public Works</t>
  </si>
  <si>
    <t>General Category: Human Services</t>
  </si>
  <si>
    <t>General Category: Culture &amp; Recreation</t>
  </si>
  <si>
    <t>General Category: Debt Service</t>
  </si>
  <si>
    <t>General Category: Intergovernmental</t>
  </si>
  <si>
    <t>BOS</t>
  </si>
  <si>
    <t>General Category: Miscellaneous</t>
  </si>
  <si>
    <t>General Category: Public Works - WPCF</t>
  </si>
  <si>
    <t>WPCF</t>
  </si>
  <si>
    <t>HVAC R &amp; M</t>
  </si>
  <si>
    <t>Dues/Memberships</t>
  </si>
  <si>
    <t>GENERAL GOVERNMENT</t>
  </si>
  <si>
    <t>TOWN MEETING</t>
  </si>
  <si>
    <t>TOTAL TOWN MEETING</t>
  </si>
  <si>
    <t>Capital Outlay</t>
  </si>
  <si>
    <t>FINANCE COMMITTEE</t>
  </si>
  <si>
    <t>TOTAL FINANCE COMMITTEE</t>
  </si>
  <si>
    <t>RESERVE FUND</t>
  </si>
  <si>
    <t>TOTAL RESERVE FUND</t>
  </si>
  <si>
    <t>TOWN ACCOUNTANT</t>
  </si>
  <si>
    <t>ASSESSORS</t>
  </si>
  <si>
    <t>TREASURER/COLLECTOR</t>
  </si>
  <si>
    <t>TOTAL TREASURER/COLLECTOR</t>
  </si>
  <si>
    <t>TOWN COUNSEL</t>
  </si>
  <si>
    <t>TOTAL TOWN COUNSEL</t>
  </si>
  <si>
    <t>TOWN CLERK</t>
  </si>
  <si>
    <t>TOTAL TOWN CLERK</t>
  </si>
  <si>
    <t>TOTAL PLANNING</t>
  </si>
  <si>
    <t>ZONING BOARD OF APPEALS</t>
  </si>
  <si>
    <t>Vacation/Sick Leave Buyback</t>
  </si>
  <si>
    <t>TOTAL GENERAL GOVERNMENT</t>
  </si>
  <si>
    <t>PUBLIC SAFETY</t>
  </si>
  <si>
    <t>POLICE</t>
  </si>
  <si>
    <t>BUILDING INSPECTOR</t>
  </si>
  <si>
    <t>TOTAL BUILDING INSPECTOR</t>
  </si>
  <si>
    <t>EMERGENCY MANAGEMENT</t>
  </si>
  <si>
    <t>ANIMAL CONTROL</t>
  </si>
  <si>
    <t>FOREST WARDEN</t>
  </si>
  <si>
    <t>TOTAL PUBLIC SAFETY</t>
  </si>
  <si>
    <t>PUBLIC WORKS</t>
  </si>
  <si>
    <t>SNOW &amp; ICE</t>
  </si>
  <si>
    <t>TOTAL SNOW &amp; ICE</t>
  </si>
  <si>
    <t>CEMETERIES</t>
  </si>
  <si>
    <t>TOTAL PUBLIC WORKS</t>
  </si>
  <si>
    <t>HUMAN SERVICES</t>
  </si>
  <si>
    <t>BOARD OF HEALTH</t>
  </si>
  <si>
    <t>TOTAL BOARD OF HEALTH</t>
  </si>
  <si>
    <t>COUNCIL ON AGING</t>
  </si>
  <si>
    <t>TOTAL COUNCIL ON AGING</t>
  </si>
  <si>
    <t>VETERANS' SERVICES</t>
  </si>
  <si>
    <t>TOTAL HUMAN SERVICES</t>
  </si>
  <si>
    <t>CULTURE &amp; RECREATION</t>
  </si>
  <si>
    <t>LIBRARIES</t>
  </si>
  <si>
    <t>TOTAL LIBRARIES</t>
  </si>
  <si>
    <t>PARKS &amp; RECREATION</t>
  </si>
  <si>
    <t>WAR MEMORIALS</t>
  </si>
  <si>
    <t>TOTAL WAR MEMORIALS</t>
  </si>
  <si>
    <t>TOTAL CULTURE &amp; RECREATION</t>
  </si>
  <si>
    <t>DEBT SERVICE</t>
  </si>
  <si>
    <t>INTERGOVERNMENTAL</t>
  </si>
  <si>
    <t>VETERANS</t>
  </si>
  <si>
    <t>MISCELLANEOUS</t>
  </si>
  <si>
    <t>EMPLOYEE BENEFITS</t>
  </si>
  <si>
    <t>TOTAL EMPLOYEE BENEFITS</t>
  </si>
  <si>
    <t>INSURANCE</t>
  </si>
  <si>
    <t>TOTAL MISCELLANEOUS</t>
  </si>
  <si>
    <t>GRAND TOTAL</t>
  </si>
  <si>
    <t>WATER POLLUTION CONTROL</t>
  </si>
  <si>
    <t>Debt Service</t>
  </si>
  <si>
    <t>TOTAL WPCF</t>
  </si>
  <si>
    <t>EDUCATION</t>
  </si>
  <si>
    <t>FCTS</t>
  </si>
  <si>
    <t>GMRSD</t>
  </si>
  <si>
    <t>Vehicle Parts &amp; Accessories</t>
  </si>
  <si>
    <t>FY13</t>
  </si>
  <si>
    <t>35 hr week</t>
  </si>
  <si>
    <t xml:space="preserve">40 hr week </t>
  </si>
  <si>
    <t>37.5 hr week</t>
  </si>
  <si>
    <t>37.69 hr wk</t>
  </si>
  <si>
    <t>Payroll Reg</t>
  </si>
  <si>
    <t>Dept p/rs</t>
  </si>
  <si>
    <t>PR Warrants</t>
  </si>
  <si>
    <t>Binders for Perm P/R records</t>
  </si>
  <si>
    <t>Ws, Emp Hx</t>
  </si>
  <si>
    <t>Taxation share</t>
  </si>
  <si>
    <t>FY2013</t>
  </si>
  <si>
    <t>DOH</t>
  </si>
  <si>
    <t>Svc</t>
  </si>
  <si>
    <t>Long</t>
  </si>
  <si>
    <t>Increase</t>
  </si>
  <si>
    <t>CSO USDA #92-18 $958,000</t>
  </si>
  <si>
    <t>% incr</t>
  </si>
  <si>
    <t>Historical Commission</t>
  </si>
  <si>
    <t>Dept # 691</t>
  </si>
  <si>
    <t>One-Time State Aid</t>
  </si>
  <si>
    <t>HISTORICAL COMMISSION</t>
  </si>
  <si>
    <t>Natural Gas- Town Hall</t>
  </si>
  <si>
    <t>Natural Gas - Police Station</t>
  </si>
  <si>
    <t>WPCF DEBT</t>
  </si>
  <si>
    <t>ACCOUNTANT</t>
  </si>
  <si>
    <t>TREAS/COLLECTOR</t>
  </si>
  <si>
    <t>PLANNER</t>
  </si>
  <si>
    <t>ZBA</t>
  </si>
  <si>
    <t>BUILDING DEPT</t>
  </si>
  <si>
    <t>SEALER OF WEIGHTS</t>
  </si>
  <si>
    <t>EMERGENCY MGMT</t>
  </si>
  <si>
    <t>PUBLIC BUILDINGS</t>
  </si>
  <si>
    <t>PARKS</t>
  </si>
  <si>
    <t>AIRPORT</t>
  </si>
  <si>
    <t>RECREATION</t>
  </si>
  <si>
    <t>DEBT</t>
  </si>
  <si>
    <t>INTERGOVERNMENT</t>
  </si>
  <si>
    <t>WPCF BENEFITS</t>
  </si>
  <si>
    <t>Non-Contrib Retirement</t>
  </si>
  <si>
    <t>Tools</t>
  </si>
  <si>
    <t>Building R &amp; M Supplies</t>
  </si>
  <si>
    <t>Computer Software Maintenance</t>
  </si>
  <si>
    <t>Property, Inland Marine, Crime</t>
  </si>
  <si>
    <t>111F Regular Wages</t>
  </si>
  <si>
    <t>111F Incentive Pay</t>
  </si>
  <si>
    <t>Moderator</t>
  </si>
  <si>
    <t>Town Administrator</t>
  </si>
  <si>
    <t>Town Accountant</t>
  </si>
  <si>
    <t>Assistant Town Clerk</t>
  </si>
  <si>
    <t>Town Clerk</t>
  </si>
  <si>
    <t>Building Inspector</t>
  </si>
  <si>
    <t>Custodian</t>
  </si>
  <si>
    <t>Burial Agent</t>
  </si>
  <si>
    <t>Children's Librarian</t>
  </si>
  <si>
    <t>Library Director</t>
  </si>
  <si>
    <t>Software Maintenance</t>
  </si>
  <si>
    <t>COLLE RRA</t>
  </si>
  <si>
    <t>Multi-Purpose 2006</t>
  </si>
  <si>
    <t>2006 Bond Prinicpal</t>
  </si>
  <si>
    <t>2006 Bond Interest</t>
  </si>
  <si>
    <t>WPCF Gen Obligation 2006</t>
  </si>
  <si>
    <t>CSO #16 6/9/05 $1,911,052</t>
  </si>
  <si>
    <t>CSO #16 6/9/05 $1,024,000</t>
  </si>
  <si>
    <t>CSO #16 6/9/05 $958,000</t>
  </si>
  <si>
    <t>CSO #16 6/9/05 $957,448</t>
  </si>
  <si>
    <t>RAISE DEBT SERVICE DEFICIT</t>
  </si>
  <si>
    <t>710-5919</t>
  </si>
  <si>
    <t>751-5919</t>
  </si>
  <si>
    <t>Dept #228-183</t>
  </si>
  <si>
    <t>TOTAL COLLE</t>
  </si>
  <si>
    <t>Tax Levy</t>
  </si>
  <si>
    <t>New Growth</t>
  </si>
  <si>
    <t>Debt Exclusion</t>
  </si>
  <si>
    <t>Veterans' Benefits</t>
  </si>
  <si>
    <t>State Owned Land</t>
  </si>
  <si>
    <t xml:space="preserve">State Aid </t>
  </si>
  <si>
    <t>less offset</t>
  </si>
  <si>
    <t>Subtotal Tax Levy</t>
  </si>
  <si>
    <t>Subtotal Cherry Sheet</t>
  </si>
  <si>
    <t>Net State Revenue</t>
  </si>
  <si>
    <t>Net Levy</t>
  </si>
  <si>
    <t>Local Receipts</t>
  </si>
  <si>
    <t>Motor Vehicle Excise</t>
  </si>
  <si>
    <t>Other Excise</t>
  </si>
  <si>
    <t>PILOT</t>
  </si>
  <si>
    <t>Charges for Trash Disposal</t>
  </si>
  <si>
    <t>Fees</t>
  </si>
  <si>
    <t>Licenses &amp; Permits</t>
  </si>
  <si>
    <t>Fines &amp; Forfeits</t>
  </si>
  <si>
    <t>Investment Income</t>
  </si>
  <si>
    <t>DPW SUBSIDIARY</t>
  </si>
  <si>
    <t>WPCF, AIRPORT, COLLE</t>
  </si>
  <si>
    <t>Miscellaneous Recurring</t>
  </si>
  <si>
    <t>Misc. Non-Recurring</t>
  </si>
  <si>
    <t>Penalties &amp; Interest</t>
  </si>
  <si>
    <t>Available Funds</t>
  </si>
  <si>
    <t>Free Cash</t>
  </si>
  <si>
    <t>Individual Articles</t>
  </si>
  <si>
    <t>Reduce Levy</t>
  </si>
  <si>
    <t>Total Available Funds</t>
  </si>
  <si>
    <t>Total Free Cash</t>
  </si>
  <si>
    <t>P</t>
  </si>
  <si>
    <t>Total</t>
  </si>
  <si>
    <t>Public Libraries</t>
  </si>
  <si>
    <t>Other Charges for Service</t>
  </si>
  <si>
    <t>Other Services</t>
  </si>
  <si>
    <t>DISPATCH</t>
  </si>
  <si>
    <t>TOTAL DISPATCH</t>
  </si>
  <si>
    <t>Fitness Stipend</t>
  </si>
  <si>
    <t>DPW COMBINED</t>
  </si>
  <si>
    <t>Uniform Rental/Ceaning</t>
  </si>
  <si>
    <t>SOLID WASTE</t>
  </si>
  <si>
    <t>TOTAL EXPENSES</t>
  </si>
  <si>
    <t>TOTAL EXPENSE</t>
  </si>
  <si>
    <t>Treasurer/Collector</t>
  </si>
  <si>
    <t>TOTAL BOARD OF SELECTMEN</t>
  </si>
  <si>
    <t>TOTAL ACCOUNTANT</t>
  </si>
  <si>
    <t>TOTAL BOARD OF ASSESSORS</t>
  </si>
  <si>
    <t>TOTAL ZBA</t>
  </si>
  <si>
    <t>TOTAL SEALER OF WEIGHTS</t>
  </si>
  <si>
    <t>TOTAL EMERGENCY MGMT</t>
  </si>
  <si>
    <t>TOTAL PUBLIC BUILDINGS</t>
  </si>
  <si>
    <t>TOTAL CONSTRUCTION/MAINT</t>
  </si>
  <si>
    <t>Electrical Supplies</t>
  </si>
  <si>
    <t>TOTAL SOLID WASTE</t>
  </si>
  <si>
    <t>TOTAL PARKS</t>
  </si>
  <si>
    <t>TOTAL AIRPORT</t>
  </si>
  <si>
    <t>TOTAL CEMETERY</t>
  </si>
  <si>
    <t>TOTAL DEBT</t>
  </si>
  <si>
    <t>TOTAL GENERAL INSURANCE</t>
  </si>
  <si>
    <t>TOTAL WPCF HWY SUBSIDIARY</t>
  </si>
  <si>
    <t>TOTAL WPCF DEBT</t>
  </si>
  <si>
    <t>TOTAL WPCF BENEFITS</t>
  </si>
  <si>
    <t>Less Allowance for A&amp;E</t>
  </si>
  <si>
    <t>Stabilization</t>
  </si>
  <si>
    <t>Professional/Technical</t>
  </si>
  <si>
    <t>Requested</t>
  </si>
  <si>
    <t>Dept # 122</t>
  </si>
  <si>
    <t>Total Special Articles</t>
  </si>
  <si>
    <t>Dept # 131</t>
  </si>
  <si>
    <t>Dept # 132</t>
  </si>
  <si>
    <t>Dept # 135</t>
  </si>
  <si>
    <t>Dept # 141</t>
  </si>
  <si>
    <t>Dept # 145</t>
  </si>
  <si>
    <t>Dept # 151</t>
  </si>
  <si>
    <t>Dept # 161</t>
  </si>
  <si>
    <t>Dept # 175</t>
  </si>
  <si>
    <t>Dept # 176</t>
  </si>
  <si>
    <t>Dept # 211</t>
  </si>
  <si>
    <t>Dept # 241</t>
  </si>
  <si>
    <t>Dept # 244</t>
  </si>
  <si>
    <t>Dept # 482</t>
  </si>
  <si>
    <t>Dept # 292</t>
  </si>
  <si>
    <t>Dept # 294</t>
  </si>
  <si>
    <t>Dept # 300</t>
  </si>
  <si>
    <t>Dept # 420</t>
  </si>
  <si>
    <t>Dept # 192</t>
  </si>
  <si>
    <t>Dept # 422</t>
  </si>
  <si>
    <t>Expended</t>
  </si>
  <si>
    <t>Dept # 423</t>
  </si>
  <si>
    <t>Dept # 433</t>
  </si>
  <si>
    <t>Dept # 511</t>
  </si>
  <si>
    <t>Dept # 541</t>
  </si>
  <si>
    <t>Dept # 543</t>
  </si>
  <si>
    <t>Level Services</t>
  </si>
  <si>
    <t>Dept # 610</t>
  </si>
  <si>
    <t>Dept # 630</t>
  </si>
  <si>
    <t>Dept # 700</t>
  </si>
  <si>
    <t>Dept # 840</t>
  </si>
  <si>
    <t>Dept # 910</t>
  </si>
  <si>
    <t>Dept # 946</t>
  </si>
  <si>
    <t>Dept # 661-440</t>
  </si>
  <si>
    <t>Dept # 661-449</t>
  </si>
  <si>
    <t>Dept # 661-700</t>
  </si>
  <si>
    <t>Dept # 661-910</t>
  </si>
  <si>
    <t>Dept # 291</t>
  </si>
  <si>
    <t>FREE CASH FOR SPECIAL ARTICLES</t>
  </si>
  <si>
    <t>Household Hazardous Waste</t>
  </si>
  <si>
    <t>thru</t>
  </si>
  <si>
    <t>710-5915</t>
  </si>
  <si>
    <t>710-5912</t>
  </si>
  <si>
    <t>751-5915</t>
  </si>
  <si>
    <t>751-5915-100</t>
  </si>
  <si>
    <t>751-5912</t>
  </si>
  <si>
    <t>710-5913</t>
  </si>
  <si>
    <t>751-5913</t>
  </si>
  <si>
    <t xml:space="preserve">F/T Wages </t>
  </si>
  <si>
    <t>WPCF General Obligation Bonds (Excess)</t>
  </si>
  <si>
    <t>$589,000 6-15-03 Multi Article</t>
  </si>
  <si>
    <t>Acquire 46 Greenfield Rd</t>
  </si>
  <si>
    <t>Staffing - Base Wages excluding Overtime/Shift/Holiday</t>
  </si>
  <si>
    <t>Title</t>
  </si>
  <si>
    <t>Estimated</t>
  </si>
  <si>
    <t>WPCF EMPLOYEE BENEFITS</t>
  </si>
  <si>
    <t>2nd Member</t>
  </si>
  <si>
    <t>3rd Member</t>
  </si>
  <si>
    <t>Animal Inspector</t>
  </si>
  <si>
    <t>Recap</t>
  </si>
  <si>
    <t>Travel</t>
  </si>
  <si>
    <t>Custodial Services (16 hrs/wk)</t>
  </si>
  <si>
    <t>SHARED COSTS</t>
  </si>
  <si>
    <t>Copier/Duplicator Lease</t>
  </si>
  <si>
    <t>Copier/Duplicator Supplies</t>
  </si>
  <si>
    <t>Dept #159</t>
  </si>
  <si>
    <t>Cyclical/Interim Revaluation</t>
  </si>
  <si>
    <t>Pager Pay</t>
  </si>
  <si>
    <t>Fin Comm</t>
  </si>
  <si>
    <t>Grand Total General Revenue</t>
  </si>
  <si>
    <t>Millers Falls Assessment</t>
  </si>
  <si>
    <t>Recommend</t>
  </si>
  <si>
    <t>Budget</t>
  </si>
  <si>
    <t>Adjust.</t>
  </si>
  <si>
    <t>Assessing Technician</t>
  </si>
  <si>
    <t>Source</t>
  </si>
  <si>
    <t>Taxation</t>
  </si>
  <si>
    <t>Available</t>
  </si>
  <si>
    <t>Funds</t>
  </si>
  <si>
    <t>Town</t>
  </si>
  <si>
    <t>Vehicle Supplies &amp; Maintenance</t>
  </si>
  <si>
    <t>Travel/Seminars</t>
  </si>
  <si>
    <t>Equipment R &amp; M</t>
  </si>
  <si>
    <t>BORROWING IN ANTICIPATION OF GRANTS</t>
  </si>
  <si>
    <t>Equipment &lt; $2K</t>
  </si>
  <si>
    <t>Chair, Selectmen</t>
  </si>
  <si>
    <t>Chair</t>
  </si>
  <si>
    <t>Franklin Cty Tech School Capital</t>
  </si>
  <si>
    <t>Director of Health</t>
  </si>
  <si>
    <t>$ Incr</t>
  </si>
  <si>
    <t>DEPT OF PUBLIC WORKS</t>
  </si>
  <si>
    <t>PUBLIC BLDG UTILITIES</t>
  </si>
  <si>
    <t>GENERAL INSURANCE</t>
  </si>
  <si>
    <t xml:space="preserve">WATER POLLUTION CONTROL </t>
  </si>
  <si>
    <t>PLANNING</t>
  </si>
  <si>
    <t xml:space="preserve">SEALER OF WEIGHTS </t>
  </si>
  <si>
    <t>Director of Parks &amp; Recreation</t>
  </si>
  <si>
    <t>Clerk 20 hrs</t>
  </si>
  <si>
    <t>Building R &amp; M</t>
  </si>
  <si>
    <t>Hrs</t>
  </si>
  <si>
    <t>Hrly</t>
  </si>
  <si>
    <t>Rate</t>
  </si>
  <si>
    <t>Rate #1</t>
  </si>
  <si>
    <t>Anniv</t>
  </si>
  <si>
    <t xml:space="preserve">Total </t>
  </si>
  <si>
    <t>Rate #2</t>
  </si>
  <si>
    <t>Date</t>
  </si>
  <si>
    <t>710-5930</t>
  </si>
  <si>
    <t>710-5931</t>
  </si>
  <si>
    <t>710-5932</t>
  </si>
  <si>
    <t>710-5933</t>
  </si>
  <si>
    <t>710-5934</t>
  </si>
  <si>
    <t>751-5930</t>
  </si>
  <si>
    <t>751-5930-100</t>
  </si>
  <si>
    <t>751-5931</t>
  </si>
  <si>
    <t>751-5931-100</t>
  </si>
  <si>
    <t>751-5932</t>
  </si>
  <si>
    <t>751-5933</t>
  </si>
  <si>
    <t>751-5934</t>
  </si>
  <si>
    <t>751-5934-100</t>
  </si>
  <si>
    <t>Exemptions V/B/SS/Eld</t>
  </si>
  <si>
    <t>POLICE CRUISER</t>
  </si>
  <si>
    <t>p/r checks - 3300</t>
  </si>
  <si>
    <t>est cost</t>
  </si>
  <si>
    <t>tax forms</t>
  </si>
  <si>
    <t>misc - folders, etc</t>
  </si>
  <si>
    <t>Office Supplies detail</t>
  </si>
  <si>
    <t>Cell Phone Stipends</t>
  </si>
  <si>
    <t>Cell Phone Stipend</t>
  </si>
  <si>
    <t>5930-100</t>
  </si>
  <si>
    <t>5931-100</t>
  </si>
  <si>
    <t>752-5920</t>
  </si>
  <si>
    <t>Mapping/GIS/Internet</t>
  </si>
  <si>
    <t>Sick Leave Buy-Back</t>
  </si>
  <si>
    <t>Cruiser</t>
  </si>
  <si>
    <t>Ballot</t>
  </si>
  <si>
    <t>Landfill Closure</t>
  </si>
  <si>
    <t>TFHS/GFMS Renovation</t>
  </si>
  <si>
    <t>Police Station $4,999,525</t>
  </si>
  <si>
    <t>Excludes adjustments</t>
  </si>
  <si>
    <t>Dispatch Supervisor/Office Adm MO</t>
  </si>
  <si>
    <t>5211-424</t>
  </si>
  <si>
    <t>Website Maintenance</t>
  </si>
  <si>
    <t>Seminars/Training</t>
  </si>
  <si>
    <t>Domain Hosting</t>
  </si>
  <si>
    <t>Position</t>
  </si>
  <si>
    <t>Board of Assessors</t>
  </si>
  <si>
    <t>Treasurer/Tax Collector</t>
  </si>
  <si>
    <t>Collections Specialist</t>
  </si>
  <si>
    <t>Planning &amp; Comm Dev</t>
  </si>
  <si>
    <t>Director of Planning</t>
  </si>
  <si>
    <t>Chief</t>
  </si>
  <si>
    <t>Staff Sergeant</t>
  </si>
  <si>
    <t>Sergeant</t>
  </si>
  <si>
    <t>Detective</t>
  </si>
  <si>
    <t>Patrolman</t>
  </si>
  <si>
    <t>Police*</t>
  </si>
  <si>
    <t>*Amt includes Incentive Pay for eligible employees</t>
  </si>
  <si>
    <t>Dispatch</t>
  </si>
  <si>
    <t xml:space="preserve">Dispatch Supervisor/Office Adm </t>
  </si>
  <si>
    <t xml:space="preserve">Communications Officer </t>
  </si>
  <si>
    <t>Inspector of Buildings</t>
  </si>
  <si>
    <t>DPW</t>
  </si>
  <si>
    <t xml:space="preserve">Superintendent                         </t>
  </si>
  <si>
    <t xml:space="preserve">Office Manager                        </t>
  </si>
  <si>
    <t xml:space="preserve">Working Foreman                      </t>
  </si>
  <si>
    <t xml:space="preserve">Shop Foreman                           </t>
  </si>
  <si>
    <t xml:space="preserve">Building Maintenenance          </t>
  </si>
  <si>
    <t xml:space="preserve">Custodian                                 </t>
  </si>
  <si>
    <t xml:space="preserve">Grounds Maintenance         </t>
  </si>
  <si>
    <t xml:space="preserve">Heavy Equipment Operator      </t>
  </si>
  <si>
    <t xml:space="preserve">Truck Driver/Laborer              </t>
  </si>
  <si>
    <t xml:space="preserve">Truck Driver/Laborer  </t>
  </si>
  <si>
    <t xml:space="preserve">Truck Driver/Laborer   </t>
  </si>
  <si>
    <t>Board of Health</t>
  </si>
  <si>
    <t>Council on Aging</t>
  </si>
  <si>
    <t>Director of COA</t>
  </si>
  <si>
    <t>Libraries</t>
  </si>
  <si>
    <t xml:space="preserve">Library Technician  </t>
  </si>
  <si>
    <t>26 hrs/wk</t>
  </si>
  <si>
    <t>13 hrs/wk</t>
  </si>
  <si>
    <t xml:space="preserve">Library Assistant I </t>
  </si>
  <si>
    <t xml:space="preserve">Childrens' Prog Asst </t>
  </si>
  <si>
    <t>Parks and Recreation</t>
  </si>
  <si>
    <t>Airport Manager</t>
  </si>
  <si>
    <t>Budg Wages</t>
  </si>
  <si>
    <t>Supt</t>
  </si>
  <si>
    <t>48.5 % of Available Sources to GMRSD Operating</t>
  </si>
  <si>
    <t>FCTS Stabilization</t>
  </si>
  <si>
    <t>GMRSD Stabilization</t>
  </si>
  <si>
    <t>Town Stabilization for Sp Articles</t>
  </si>
  <si>
    <t>TOWN STABILIZATION</t>
  </si>
  <si>
    <t>TOTAL VETERANS</t>
  </si>
  <si>
    <t>Computer Equipment/Software</t>
  </si>
  <si>
    <t>Supplies</t>
  </si>
  <si>
    <t>Comcast/Crocker DSL Line</t>
  </si>
  <si>
    <t>Revenue</t>
  </si>
  <si>
    <t>Available Levy</t>
  </si>
  <si>
    <t>Total Available Sources for Operating Expenses</t>
  </si>
  <si>
    <t>IT Administrator Stipend</t>
  </si>
  <si>
    <t>TOTAL WAGES</t>
  </si>
  <si>
    <t>Total Sources for GMRSD Operating</t>
  </si>
  <si>
    <t>Montague's share Excluded GMRSD Debt</t>
  </si>
  <si>
    <t>Free Cash recomended for Operating Expenses</t>
  </si>
  <si>
    <t>Net State Aid (Total less Charges &amp; Offsets)</t>
  </si>
  <si>
    <t>Net Levy (Total less allowance for Abatements)</t>
  </si>
  <si>
    <t xml:space="preserve">Sewer-DPW </t>
  </si>
  <si>
    <t xml:space="preserve"> Dir Planning &amp; Comm Dev</t>
  </si>
  <si>
    <t>6/2/07 Montague Center Roof $95,475</t>
  </si>
  <si>
    <t>Continuing Disclosure Fee (Debt)</t>
  </si>
  <si>
    <t>Incentive</t>
  </si>
  <si>
    <t>%</t>
  </si>
  <si>
    <t>Salaries Full Time</t>
  </si>
  <si>
    <t>Wages Full Time</t>
  </si>
  <si>
    <t>Wages Part Time</t>
  </si>
  <si>
    <t xml:space="preserve">GENERAL FUND SOURCES - NET OF </t>
  </si>
  <si>
    <t xml:space="preserve">BORROWING, TFHS DEBT BALANCE, </t>
  </si>
  <si>
    <t>Printing Annual Report</t>
  </si>
  <si>
    <t>M-Th</t>
  </si>
  <si>
    <t>Shared Paper</t>
  </si>
  <si>
    <t>5214-192</t>
  </si>
  <si>
    <t>5231-193</t>
  </si>
  <si>
    <t>Water - 15 Center St</t>
  </si>
  <si>
    <t xml:space="preserve">GMRSD </t>
  </si>
  <si>
    <t>Vacation Buy Back</t>
  </si>
  <si>
    <t>Plow Items</t>
  </si>
  <si>
    <t xml:space="preserve">Council on Aging Director </t>
  </si>
  <si>
    <t>Building &amp; Grounds R &amp; M</t>
  </si>
  <si>
    <t>Wages Full Time - Director</t>
  </si>
  <si>
    <t>Director of Parks &amp; Recreation (days)</t>
  </si>
  <si>
    <t>Daily/Hrly</t>
  </si>
  <si>
    <t>Days/Hrs</t>
  </si>
  <si>
    <t>Sewer User Fees</t>
  </si>
  <si>
    <t>Airport User Fees</t>
  </si>
  <si>
    <t xml:space="preserve">WPCF </t>
  </si>
  <si>
    <t>Airport</t>
  </si>
  <si>
    <t>Colle</t>
  </si>
  <si>
    <t>Sewer Retained Earnings</t>
  </si>
  <si>
    <t>Town Stabilization For GM</t>
  </si>
  <si>
    <t>GMRSD Assessment</t>
  </si>
  <si>
    <t>Police Wage Scale</t>
  </si>
  <si>
    <t>Ret HIns Other Towns</t>
  </si>
  <si>
    <t>Natural Gas</t>
  </si>
  <si>
    <t>MEDIC</t>
  </si>
  <si>
    <t>Insurance (Bd Directors)</t>
  </si>
  <si>
    <t>TOTAL MEDIC</t>
  </si>
  <si>
    <t>Cell phone stipend</t>
  </si>
  <si>
    <t>FY2014</t>
  </si>
  <si>
    <t>Police Academy Expenses</t>
  </si>
  <si>
    <t>Ammunition</t>
  </si>
  <si>
    <t>FC Sheriff's fee to run shelter</t>
  </si>
  <si>
    <t>Software Maint, charges</t>
  </si>
  <si>
    <t>Umbrella Insurance</t>
  </si>
  <si>
    <t>Dept # 182</t>
  </si>
  <si>
    <t>Unrestricted Aid</t>
  </si>
  <si>
    <t>FCTS STABILIZATION</t>
  </si>
  <si>
    <t>Lead Mechanic</t>
  </si>
  <si>
    <t>FRCOG Brownfields Loan Principal</t>
  </si>
  <si>
    <t>FRCOG Brownfields Loan Interest</t>
  </si>
  <si>
    <t>BAN paydown Sheffield Roof</t>
  </si>
  <si>
    <t>FY15</t>
  </si>
  <si>
    <t>Shared Animal Control Officer</t>
  </si>
  <si>
    <t>FY2015</t>
  </si>
  <si>
    <t>Temporary Wages</t>
  </si>
  <si>
    <t xml:space="preserve">Barn Inspector </t>
  </si>
  <si>
    <t>Clerk (17.5 hrs )</t>
  </si>
  <si>
    <t>Steps</t>
  </si>
  <si>
    <t>Patrol</t>
  </si>
  <si>
    <t>FY15=FY14+1%</t>
  </si>
  <si>
    <t>Grade</t>
  </si>
  <si>
    <t>J</t>
  </si>
  <si>
    <t>I</t>
  </si>
  <si>
    <t>H</t>
  </si>
  <si>
    <t>G</t>
  </si>
  <si>
    <t>F</t>
  </si>
  <si>
    <t>E</t>
  </si>
  <si>
    <t>D</t>
  </si>
  <si>
    <t>REVISED AND FINAL Police Scale FY14</t>
  </si>
  <si>
    <t>FY16=FY15+1%</t>
  </si>
  <si>
    <t>Fiscal Year 2015</t>
  </si>
  <si>
    <t>Proration for P/T</t>
  </si>
  <si>
    <t>Treasurer MGL Ch41:108P Stipend</t>
  </si>
  <si>
    <t>MGL Ch41:19K Stipend</t>
  </si>
  <si>
    <t>P3</t>
  </si>
  <si>
    <t>P4</t>
  </si>
  <si>
    <t>Requested Assessment</t>
  </si>
  <si>
    <t>Sheffield Roof</t>
  </si>
  <si>
    <t>Sheffield Parking Lot</t>
  </si>
  <si>
    <t>FRCOG REPC Assessment</t>
  </si>
  <si>
    <t>Inland Marine</t>
  </si>
  <si>
    <t>Law Enforcement</t>
  </si>
  <si>
    <t>Fuel Oil (House)</t>
  </si>
  <si>
    <t>House Expense</t>
  </si>
  <si>
    <t>SRO Patrolman</t>
  </si>
  <si>
    <t>Replace 2 pump stations</t>
  </si>
  <si>
    <t>Skateboard Park - Town Share</t>
  </si>
  <si>
    <t>Sewer Maintenance</t>
  </si>
  <si>
    <t>Sewer Rehab</t>
  </si>
  <si>
    <t xml:space="preserve">Town </t>
  </si>
  <si>
    <t>Transfer FCTS decrease to FCTS Stabilization</t>
  </si>
  <si>
    <t>Records Storage</t>
  </si>
  <si>
    <t>Projected Income</t>
  </si>
  <si>
    <t>Borrowing</t>
  </si>
  <si>
    <t>Total Borrowing</t>
  </si>
  <si>
    <t>Grand Total All Sources</t>
  </si>
  <si>
    <t>Less State Charges</t>
  </si>
  <si>
    <t>Additional P/T Hours (see note below)</t>
  </si>
  <si>
    <t>BOS &amp;</t>
  </si>
  <si>
    <t>Add'l amts for UE Pay &amp; Class Implement</t>
  </si>
  <si>
    <t>12 hrs/wk</t>
  </si>
  <si>
    <t>Natural Gas-Unity Park</t>
  </si>
  <si>
    <t>FY15 TOMEA and Non-Union Wage Scale Includes 1% COLA</t>
  </si>
  <si>
    <t>B10</t>
  </si>
  <si>
    <t>na salaried</t>
  </si>
  <si>
    <t>FY16</t>
  </si>
  <si>
    <t>G10</t>
  </si>
  <si>
    <t>FY16 TOMEA and Non-Union Wage Scale Includes 1% COLA</t>
  </si>
  <si>
    <t>Fiscal Year 2016</t>
  </si>
  <si>
    <t xml:space="preserve">4 day schedule week </t>
  </si>
  <si>
    <t>D3</t>
  </si>
  <si>
    <t>Food &amp; Drinks</t>
  </si>
  <si>
    <t>Clerk Equip &lt; $2K</t>
  </si>
  <si>
    <t>Electicity - Traffic lights</t>
  </si>
  <si>
    <t>Unused Vacation Buy Back</t>
  </si>
  <si>
    <t>Unused Sick Leave Buy Back</t>
  </si>
  <si>
    <t>FY2016</t>
  </si>
  <si>
    <t>Operating Appropriation to CI Stab</t>
  </si>
  <si>
    <t>Sum of #1, #2</t>
  </si>
  <si>
    <t>State Aid + LER</t>
  </si>
  <si>
    <t>#2</t>
  </si>
  <si>
    <t>EOY Budget Report</t>
  </si>
  <si>
    <t>RE revenue</t>
  </si>
  <si>
    <t>PP revenue</t>
  </si>
  <si>
    <t>Transfers In</t>
  </si>
  <si>
    <t>Total GF Rev</t>
  </si>
  <si>
    <t>Levy to use</t>
  </si>
  <si>
    <t>#1</t>
  </si>
  <si>
    <t>Excluded Debt</t>
  </si>
  <si>
    <t>Allow A &amp; E</t>
  </si>
  <si>
    <t>Gross Levy</t>
  </si>
  <si>
    <t xml:space="preserve">Net Levy </t>
  </si>
  <si>
    <t>Need to meet Min</t>
  </si>
  <si>
    <t>DPW Equip (Est)</t>
  </si>
  <si>
    <t>Town LTD Int</t>
  </si>
  <si>
    <t>Town LTD Princ</t>
  </si>
  <si>
    <t>for Non-recurring, emerg, or to Stab</t>
  </si>
  <si>
    <t>35% of cert FC</t>
  </si>
  <si>
    <t>In order to meet this target, BOS can recommend transfer of up to 35% certified Free Cash</t>
  </si>
  <si>
    <t>need to add</t>
  </si>
  <si>
    <t>Maximum</t>
  </si>
  <si>
    <t>Minimum</t>
  </si>
  <si>
    <t>To be used for Capital Improvements, Reserves, or as legally restricted</t>
  </si>
  <si>
    <t>One-Time Revenues</t>
  </si>
  <si>
    <t>For Actual State Aid plus local receipts, backed into #:</t>
  </si>
  <si>
    <t>Recap DE1</t>
  </si>
  <si>
    <t>Recap p 2</t>
  </si>
  <si>
    <t>Recap P1</t>
  </si>
  <si>
    <t>Revenue Projections Detail</t>
  </si>
  <si>
    <t>Net State Aid</t>
  </si>
  <si>
    <t>Est Rec</t>
  </si>
  <si>
    <t>Uses:</t>
  </si>
  <si>
    <t>Debt:</t>
  </si>
  <si>
    <t>GF Debt Service/PYGOR</t>
  </si>
  <si>
    <t>Total Budgeted GOR</t>
  </si>
  <si>
    <t>2% Budgeted GOR</t>
  </si>
  <si>
    <t>6% PYGOR</t>
  </si>
  <si>
    <t>8% PYGOR</t>
  </si>
  <si>
    <t>3% PYGOR</t>
  </si>
  <si>
    <t>.2% PYGOR</t>
  </si>
  <si>
    <t>Total Stabilization Funds plus Free Cash shall be maintained at 5-10% of PYGOR</t>
  </si>
  <si>
    <t>GF Debt</t>
  </si>
  <si>
    <t>Ratio</t>
  </si>
  <si>
    <t>Total GF Debt</t>
  </si>
  <si>
    <t>Less GF Excluded debt</t>
  </si>
  <si>
    <t>Net GF Debt</t>
  </si>
  <si>
    <t>In Annual Budget, Debt Service plus PAYGO Cap Projects should be 6-8% of PYGOR</t>
  </si>
  <si>
    <t xml:space="preserve">Current Allocation Methodology Summary </t>
  </si>
  <si>
    <t>FCTS reimb for SRO-shown below</t>
  </si>
  <si>
    <t>Facilities/Grounds R&amp;M</t>
  </si>
  <si>
    <t>Administrative Exp</t>
  </si>
  <si>
    <t>Internet</t>
  </si>
  <si>
    <t xml:space="preserve">Local Receipts </t>
  </si>
  <si>
    <t>Retirement</t>
  </si>
  <si>
    <t>rec'd 11/25</t>
  </si>
  <si>
    <t>new printer-toner lower yield</t>
  </si>
  <si>
    <t>Generator Maintenance &amp; Fuel</t>
  </si>
  <si>
    <t>Copier Lease/Equip R&amp;M</t>
  </si>
  <si>
    <t>Point Annual Software Maintenance</t>
  </si>
  <si>
    <t>Code Red - Price Locked Forever</t>
  </si>
  <si>
    <t>EMD Services - MedCare</t>
  </si>
  <si>
    <t>Playground Surface Materials</t>
  </si>
  <si>
    <t>Abatement Software</t>
  </si>
  <si>
    <t>Twn Capital</t>
  </si>
  <si>
    <t>Siemens annual monitoring</t>
  </si>
  <si>
    <t>WPCF Tax Liens Redeemed</t>
  </si>
  <si>
    <t>WPCF Sewer Liens Redeemed</t>
  </si>
  <si>
    <t>WPCF Interest &amp; Demands</t>
  </si>
  <si>
    <t>WPCF Industrial Sewer</t>
  </si>
  <si>
    <t>WPCF Residential Sewer</t>
  </si>
  <si>
    <t>WPCF Septage Fees</t>
  </si>
  <si>
    <t>WPCF Biosolids Handling</t>
  </si>
  <si>
    <t>WPCF Investment Income</t>
  </si>
  <si>
    <t>WPCF Misc Revenue</t>
  </si>
  <si>
    <t>WPCF MWPAT Subsidy</t>
  </si>
  <si>
    <t>WPCF Transfer from GF-I&amp;I</t>
  </si>
  <si>
    <t>WPCF Transfer from CPF</t>
  </si>
  <si>
    <t>WPCF Bond Premiums</t>
  </si>
  <si>
    <t>ASSESSORS ABATEMENT SOFTWARE</t>
  </si>
  <si>
    <t>Line, clean, inspect, GIS drains, rehabilitate 1868 drain</t>
  </si>
  <si>
    <t>General Stabilization Fund to be maintained at minimum of 5% PYGOR</t>
  </si>
  <si>
    <t>Annually appropriate 0.3% of PYGOR to General Stabilization as part of operating budget</t>
  </si>
  <si>
    <t xml:space="preserve">GMRSD Debt </t>
  </si>
  <si>
    <t>Under Minimum</t>
  </si>
  <si>
    <t>% of PYGOR</t>
  </si>
  <si>
    <t>FY17</t>
  </si>
  <si>
    <t>FY2017</t>
  </si>
  <si>
    <t>Date of</t>
  </si>
  <si>
    <t>Hire</t>
  </si>
  <si>
    <t>Fiscal Year 2017</t>
  </si>
  <si>
    <t>F-COA</t>
  </si>
  <si>
    <t>To get onto town scale, following COLAs would be needed</t>
  </si>
  <si>
    <t>710-5940</t>
  </si>
  <si>
    <t>751-5940</t>
  </si>
  <si>
    <t>Tax Lien/Foreclosure rev</t>
  </si>
  <si>
    <t>TOTALS</t>
  </si>
  <si>
    <t>TOWN 40%</t>
  </si>
  <si>
    <t>WPCF 60%</t>
  </si>
  <si>
    <t>Total Town</t>
  </si>
  <si>
    <t>Total Sewer</t>
  </si>
  <si>
    <t>Variance</t>
  </si>
  <si>
    <t>FY18</t>
  </si>
  <si>
    <t>FY19</t>
  </si>
  <si>
    <t>FY20</t>
  </si>
  <si>
    <t>FY21</t>
  </si>
  <si>
    <t>FY22</t>
  </si>
  <si>
    <t>FY23</t>
  </si>
  <si>
    <t>FY24</t>
  </si>
  <si>
    <t>FY25</t>
  </si>
  <si>
    <t>FY26</t>
  </si>
  <si>
    <t>FY27</t>
  </si>
  <si>
    <t>FY28</t>
  </si>
  <si>
    <t>FY29</t>
  </si>
  <si>
    <t>FY30</t>
  </si>
  <si>
    <t>FY31</t>
  </si>
  <si>
    <t>FY32</t>
  </si>
  <si>
    <t>FY33</t>
  </si>
  <si>
    <t>FY34</t>
  </si>
  <si>
    <t>FY35</t>
  </si>
  <si>
    <t>FY36</t>
  </si>
  <si>
    <t>FY37</t>
  </si>
  <si>
    <t>FY38</t>
  </si>
  <si>
    <t>FY39</t>
  </si>
  <si>
    <t>FY40</t>
  </si>
  <si>
    <t>FY41</t>
  </si>
  <si>
    <t>FY42</t>
  </si>
  <si>
    <t>FY43</t>
  </si>
  <si>
    <t>FY44</t>
  </si>
  <si>
    <t>FY45</t>
  </si>
  <si>
    <t>FY46</t>
  </si>
  <si>
    <t>FY47</t>
  </si>
  <si>
    <t>FY48</t>
  </si>
  <si>
    <t>FY49</t>
  </si>
  <si>
    <t>FY50</t>
  </si>
  <si>
    <t>Final PSF Prinicpal $103,000</t>
  </si>
  <si>
    <t>Final PSF Interest $103,000</t>
  </si>
  <si>
    <t>Sewer Repair $1,550,000 7/22/14</t>
  </si>
  <si>
    <t>Police Station 11/15/09</t>
  </si>
  <si>
    <t>Less Excluded Debt (+ GMRSD Debt for town bldgs)</t>
  </si>
  <si>
    <t>Moved to 840 for FY17</t>
  </si>
  <si>
    <t>Step</t>
  </si>
  <si>
    <t>Total Positions</t>
  </si>
  <si>
    <t>INFORMATION TECHNOLOGY</t>
  </si>
  <si>
    <t>Dept #155</t>
  </si>
  <si>
    <t>IT Consultant</t>
  </si>
  <si>
    <t>Estimates</t>
  </si>
  <si>
    <t>FRCOG REPC</t>
  </si>
  <si>
    <t>3 toners</t>
  </si>
  <si>
    <t>Spoke to Andrew at Division of Standards 617-727-6480 ext 21133. He said there would be no change unless there was a marked increase</t>
  </si>
  <si>
    <t>or decrease in the number of vendors requiring testing.</t>
  </si>
  <si>
    <t>PLUS SPECIAL ARTICLES/NEW REQUESTS</t>
  </si>
  <si>
    <t>SPECIAL ARTICLES</t>
  </si>
  <si>
    <t>Annual/Hrly</t>
  </si>
  <si>
    <t>WPCF Increase Capital Stabilization Fund</t>
  </si>
  <si>
    <t>Other Prof/Tech (GASB45 Update)</t>
  </si>
  <si>
    <t>Dept # 652</t>
  </si>
  <si>
    <t>Travel budgeted to accomodate above meetings.</t>
  </si>
  <si>
    <t>Executive Assistant</t>
  </si>
  <si>
    <t>Administrative Assistant</t>
  </si>
  <si>
    <t>16 hrs/wk</t>
  </si>
  <si>
    <t>Compensatory time Buy-Back</t>
  </si>
  <si>
    <t>Vacation Leave Buy-Back (@7 weeks)</t>
  </si>
  <si>
    <t>Total requests exceed amt needed</t>
  </si>
  <si>
    <t>Treas now ordering/paying</t>
  </si>
  <si>
    <t>10 3" binders @$12</t>
  </si>
  <si>
    <t>5211-194</t>
  </si>
  <si>
    <t>Electricity Shea</t>
  </si>
  <si>
    <t>5214-197</t>
  </si>
  <si>
    <t>Natural Gas - Shea</t>
  </si>
  <si>
    <t>5231-194</t>
  </si>
  <si>
    <t>Water - Shea</t>
  </si>
  <si>
    <t>Recycle Ctr Permit/Inspection</t>
  </si>
  <si>
    <t>Tree Removal</t>
  </si>
  <si>
    <t>Trees and related supplies</t>
  </si>
  <si>
    <t>determine the expected assessment, and transferring any difference in excess of $10,000 to or from the Franklin County Tech School Stabilization Fund.</t>
  </si>
  <si>
    <t xml:space="preserve">FCTS: Note policy of using a three year rolling average enrollment multiplied by the current year (as opposed to budget year) per-student cost to </t>
  </si>
  <si>
    <t>Policy: Taxation transfer to FCTS Stabilization</t>
  </si>
  <si>
    <t>Overtime</t>
  </si>
  <si>
    <t>Sale of RE &amp; Chapter 90</t>
  </si>
  <si>
    <t>Wks/Hrs</t>
  </si>
  <si>
    <t>WPCF-Current Staffing</t>
  </si>
  <si>
    <t>RECOMMENDED WAGES BY POSITION</t>
  </si>
  <si>
    <t>TOWN BORROWING</t>
  </si>
  <si>
    <t>ratio</t>
  </si>
  <si>
    <t>Free Cash in excess of 3% of PYGOR should be used for non-recurring or emergency expenditures or moved to Stab.</t>
  </si>
  <si>
    <t>.3% PYGOR</t>
  </si>
  <si>
    <t>FY17 TOMEA, UE and Non-Union Wage Scale = FY16+1%</t>
  </si>
  <si>
    <t>G+8.5</t>
  </si>
  <si>
    <t>Proration for P/T - confirm annual hours for FY18</t>
  </si>
  <si>
    <t>Constable/Other ProfTech</t>
  </si>
  <si>
    <t>Regular Wages</t>
  </si>
  <si>
    <t>Other Wages</t>
  </si>
  <si>
    <t>Professional Services</t>
  </si>
  <si>
    <t>Professional Development</t>
  </si>
  <si>
    <t>General Insurance</t>
  </si>
  <si>
    <t>Town Overhead</t>
  </si>
  <si>
    <t>TFFD Overhead</t>
  </si>
  <si>
    <t>Equipment &lt; $5K</t>
  </si>
  <si>
    <t>Equipment &lt; $5k</t>
  </si>
  <si>
    <t>Counsel - Pipeline Legal Exp</t>
  </si>
  <si>
    <t>Dues</t>
  </si>
  <si>
    <t xml:space="preserve">Heating Oil </t>
  </si>
  <si>
    <t>Safety Expenses</t>
  </si>
  <si>
    <t>Industrial Park Emergency</t>
  </si>
  <si>
    <t xml:space="preserve">Sludge Equipment </t>
  </si>
  <si>
    <t xml:space="preserve">Grounds </t>
  </si>
  <si>
    <t xml:space="preserve">Buildings </t>
  </si>
  <si>
    <t>Equipment</t>
  </si>
  <si>
    <t>Pump Station</t>
  </si>
  <si>
    <t>CSO</t>
  </si>
  <si>
    <t>Fiscal Year 2018</t>
  </si>
  <si>
    <t>FY18 TOMEA, UE and Non-Union Wage Scale = FY17+1.5%</t>
  </si>
  <si>
    <t>(same every year)</t>
  </si>
  <si>
    <t>D10</t>
  </si>
  <si>
    <t>FY2018</t>
  </si>
  <si>
    <t>Operating Appropriation to OPEB</t>
  </si>
  <si>
    <t>Main</t>
  </si>
  <si>
    <t xml:space="preserve">Main </t>
  </si>
  <si>
    <t>Main 440</t>
  </si>
  <si>
    <t>Pump Stations CWP-14-28 $1.9M</t>
  </si>
  <si>
    <t>Pump Stations CWP-14-28 $1.9M Admn</t>
  </si>
  <si>
    <t>751-5941</t>
  </si>
  <si>
    <t>751-5941-100</t>
  </si>
  <si>
    <t>710-5941</t>
  </si>
  <si>
    <t>Proposed Staffing</t>
  </si>
  <si>
    <t>F-DPW</t>
  </si>
  <si>
    <t>F-WPCF</t>
  </si>
  <si>
    <t>Miscellaneous Expenses</t>
  </si>
  <si>
    <t xml:space="preserve">GASB 45 </t>
  </si>
  <si>
    <t>Citizen Serve Annual Fees (Permits)</t>
  </si>
  <si>
    <t>Software maint estimated to increase 3.5%.</t>
  </si>
  <si>
    <t>Seminars to include annual school (300) and What's New in Municpal Law (50)</t>
  </si>
  <si>
    <t>Montague Share ACO Vehicle</t>
  </si>
  <si>
    <t>ANIMAL CONTROL CAPITAL OUTLAY</t>
  </si>
  <si>
    <t>Software and Storage Support</t>
  </si>
  <si>
    <t>Moderator Seminars</t>
  </si>
  <si>
    <t>Planning Intern through Umass</t>
  </si>
  <si>
    <t>Operating Appropriation to Town Gen Stab</t>
  </si>
  <si>
    <t>710-5942</t>
  </si>
  <si>
    <t>710-5943</t>
  </si>
  <si>
    <t>#16 5/3/14 Sewer Lines $160K</t>
  </si>
  <si>
    <t>#12 5/2/15 Sewer Lines $200k</t>
  </si>
  <si>
    <t>Skateboard Park</t>
  </si>
  <si>
    <t>Total Sewer Debt</t>
  </si>
  <si>
    <t>Landfill Attendent</t>
  </si>
  <si>
    <t>Lead Operator</t>
  </si>
  <si>
    <t>Wastewater Technician</t>
  </si>
  <si>
    <t>Server Anti-Virus (previously Sp Art)</t>
  </si>
  <si>
    <t>Other Prof/Tech (mtg Minutes for FY18)</t>
  </si>
  <si>
    <t>Leases/Support/Contracts</t>
  </si>
  <si>
    <t>K-9 Stipends</t>
  </si>
  <si>
    <t>Financial Advisor Services</t>
  </si>
  <si>
    <t>Existing Sp Art Balances</t>
  </si>
  <si>
    <t xml:space="preserve">  Sp Article Balances</t>
  </si>
  <si>
    <t>Annual Audit (FY17 expected at 28K)</t>
  </si>
  <si>
    <t>P/T Health Inspector@ 25 hrs</t>
  </si>
  <si>
    <t>Police Station $103,000</t>
  </si>
  <si>
    <t xml:space="preserve">GMRSD Windows FY18 </t>
  </si>
  <si>
    <t>Allocation var to Total</t>
  </si>
  <si>
    <t>FY19 TOMEA, UE and Non-Union Wage Scale = FY18+2%</t>
  </si>
  <si>
    <t>#693</t>
  </si>
  <si>
    <t>5232-541</t>
  </si>
  <si>
    <t>Sewer - 62 5th St</t>
  </si>
  <si>
    <t>5232-194</t>
  </si>
  <si>
    <t>Sewer 15 School St</t>
  </si>
  <si>
    <t>Other Expenses</t>
  </si>
  <si>
    <t>Trans to General Fund (PY Res Fd Trans)</t>
  </si>
  <si>
    <t>G8</t>
  </si>
  <si>
    <t>FY2019</t>
  </si>
  <si>
    <t>$</t>
  </si>
  <si>
    <t>Explanation</t>
  </si>
  <si>
    <t>Change</t>
  </si>
  <si>
    <t>Add'l Approp to Town GSF to meet minimum</t>
  </si>
  <si>
    <t>WPCF Capital Discretionary Article</t>
  </si>
  <si>
    <t>WPCF Feasibility Study</t>
  </si>
  <si>
    <t>FY18=FY17+1.5%</t>
  </si>
  <si>
    <t>FY17=FY16+1%</t>
  </si>
  <si>
    <t>NOTE: THE FINAL AFFORDABLE ASSESSMENT MUST BE</t>
  </si>
  <si>
    <t xml:space="preserve">COMMUNICATED TO THE GMRSD BEFORE THE </t>
  </si>
  <si>
    <t xml:space="preserve">SCHOOL COMMITTEE VOTES ON THEIR FINAL BUDGET, WHICH </t>
  </si>
  <si>
    <t>IS REQUIRED AT LEAST 45 DAYS BEFORE THE ATM.</t>
  </si>
  <si>
    <t xml:space="preserve">Superintendent </t>
  </si>
  <si>
    <t>Other</t>
  </si>
  <si>
    <t>Website Hosting/Maintenance</t>
  </si>
  <si>
    <t>Kearsarge Lease Payments</t>
  </si>
  <si>
    <t>% directed Towards Town Capital Stabilization Fund</t>
  </si>
  <si>
    <t>Fiscal</t>
  </si>
  <si>
    <t>Kearsarge</t>
  </si>
  <si>
    <t xml:space="preserve">Increase to Affordable Assessment using various % as GF Rev </t>
  </si>
  <si>
    <t>Year</t>
  </si>
  <si>
    <t>Payment</t>
  </si>
  <si>
    <t>% Incr</t>
  </si>
  <si>
    <t>Operating</t>
  </si>
  <si>
    <t>FY18 AA</t>
  </si>
  <si>
    <t>GMRSD Assessment Hx</t>
  </si>
  <si>
    <t>GF % Of</t>
  </si>
  <si>
    <t>Town ATM Op Budget Hx</t>
  </si>
  <si>
    <t>Cumulative</t>
  </si>
  <si>
    <t>#30 5/6/17 Sewer Lines $385</t>
  </si>
  <si>
    <t>751-5942</t>
  </si>
  <si>
    <t>751-5943</t>
  </si>
  <si>
    <t>#15 9/12/13 Ind Blvd $936k</t>
  </si>
  <si>
    <t>710-5945</t>
  </si>
  <si>
    <t>751-5945</t>
  </si>
  <si>
    <t>751-5946</t>
  </si>
  <si>
    <t>710-5946</t>
  </si>
  <si>
    <t>#2 5/3/14 MF Soil Stab #81,679</t>
  </si>
  <si>
    <t>FY19 AA</t>
  </si>
  <si>
    <t>Telephone/Tablet data packages</t>
  </si>
  <si>
    <t>#2 5/3/14 MF Soil Stab. $81,679</t>
  </si>
  <si>
    <t>School Windows</t>
  </si>
  <si>
    <t>CSO Projects (60/40 WPCF/Town)</t>
  </si>
  <si>
    <t>CSO Projects 40% TOWN</t>
  </si>
  <si>
    <t>CSO PROJECTS 60$ SEWER</t>
  </si>
  <si>
    <t>Town Principal</t>
  </si>
  <si>
    <t>Town Interest</t>
  </si>
  <si>
    <t>Sewer Principal</t>
  </si>
  <si>
    <t>Sewer Interest</t>
  </si>
  <si>
    <t>Total Sewer Debt Service</t>
  </si>
  <si>
    <t>Total Town Debt Service</t>
  </si>
  <si>
    <t>WPCF Debt Service (Principal &amp; Interest)</t>
  </si>
  <si>
    <t>School Building project (est @93%)</t>
  </si>
  <si>
    <t>Town share GM Building</t>
  </si>
  <si>
    <t>GM Windows</t>
  </si>
  <si>
    <t>GRAND TOTAL LT DEBT SERVICE</t>
  </si>
  <si>
    <t>Town Debt Service (Principal &amp; Interest)</t>
  </si>
  <si>
    <t>Book delivery to branches</t>
  </si>
  <si>
    <t>ESET Licenses</t>
  </si>
  <si>
    <t>Expire</t>
  </si>
  <si>
    <t>Cost</t>
  </si>
  <si>
    <t>38 workstation + 5 server licenses</t>
  </si>
  <si>
    <t>E-mail Licenses + 5 server licenses</t>
  </si>
  <si>
    <t>Anti-Virus (prev Sp Art)see note</t>
  </si>
  <si>
    <t>FY</t>
  </si>
  <si>
    <t xml:space="preserve">CWMARS </t>
  </si>
  <si>
    <t>Clothing Allowance</t>
  </si>
  <si>
    <t>PT FCTS Intern</t>
  </si>
  <si>
    <t>Intern</t>
  </si>
  <si>
    <t>2 Ipads</t>
  </si>
  <si>
    <t>Telephone/Ipad service</t>
  </si>
  <si>
    <t>Office Supplies/Envelopes</t>
  </si>
  <si>
    <t>Office Supplies/envelopes</t>
  </si>
  <si>
    <t>MC Park Master Plan</t>
  </si>
  <si>
    <t>Total Local Receipts For AA</t>
  </si>
  <si>
    <t>Other Local Receipts</t>
  </si>
  <si>
    <t>FCTS SRO Reimb</t>
  </si>
  <si>
    <t>50% Kearsarge Lease</t>
  </si>
  <si>
    <t>Grand Total Local Receipts</t>
  </si>
  <si>
    <t>Hillcrest Security Entrance</t>
  </si>
  <si>
    <t xml:space="preserve">Questions: </t>
  </si>
  <si>
    <t>Questions:</t>
  </si>
  <si>
    <t>Note: Verizon Wireless pays for 2 cell phones (used by on call staff instead of pagers) and the service for the tablet (used in the field)</t>
  </si>
  <si>
    <t>Fy15</t>
  </si>
  <si>
    <t>Summary of duties of municipal assessors:</t>
  </si>
  <si>
    <t>Value all real and personal property within the municipality on a fair cash basis. Inspect property sales, implement a cyclical</t>
  </si>
  <si>
    <t>property reinspection program, complete annual property adjustment analysis, and prepare for triennial certification of property</t>
  </si>
  <si>
    <t>values by DLS.</t>
  </si>
  <si>
    <t>Conduct inspections of building permit properties and determin new growth for the levy limit.</t>
  </si>
  <si>
    <t>Fix the annual tax levy and set the tax rate. Participate in the preparation of the Tax Recapitulation Sheet.</t>
  </si>
  <si>
    <t>Establish the annual overlay amount for insertion in the Tax Recap Sheet.</t>
  </si>
  <si>
    <t>Determine any overlay surplus.</t>
  </si>
  <si>
    <t>Assess and administer motor vehicle, farm, and boat excises.</t>
  </si>
  <si>
    <t>Prepare the valuation and commitment list.</t>
  </si>
  <si>
    <t>Commit original and apportioned betterments to the collector.</t>
  </si>
  <si>
    <t>Commit delinquent municipal charges, including water and sewer liens and charges, to tax bills.</t>
  </si>
  <si>
    <t>Sign the commitment under oath and send it with a warrant to the collector.</t>
  </si>
  <si>
    <t>Send a notice of the commitment to the accountant/auditor.</t>
  </si>
  <si>
    <t>Process and act on abatement and exemption applications.</t>
  </si>
  <si>
    <t>Send copies of approved abatement and exemption certificates to the collector and accountant/auditor.</t>
  </si>
  <si>
    <t>Complete DLS(Department of Revenue Division of Local Services) Course 101</t>
  </si>
  <si>
    <t>Uniform Rental/Cleaning</t>
  </si>
  <si>
    <t>Telephone/Internet/Pagers</t>
  </si>
  <si>
    <t>Computer R &amp; M/Support</t>
  </si>
  <si>
    <t>Computer R&amp; M/ Support</t>
  </si>
  <si>
    <t>A few notes about the DPW Budgets:</t>
  </si>
  <si>
    <t>·        The Department 420 is a summary tab that combines 192 (Public Buildings Maintenance, 422 Streets) and 652 (Parks). Wages for all DPW employees are shown on the bottom of this page, but the individual wages are budgeted in the appropriate tab. One can track the individuals budgeted in each subgroup by following the cell references in the budgeted wages.</t>
  </si>
  <si>
    <t>·        The wages for the part-time Landfill Assistant appear in Department 433, Solid Waste.</t>
  </si>
  <si>
    <t>·        Budgets for departments 192 and 652 each have 3 full-time employees.</t>
  </si>
  <si>
    <t>·        The budget for Department 422 includes wages for 11 full-time employees.</t>
  </si>
  <si>
    <t xml:space="preserve"> </t>
  </si>
  <si>
    <t>DPW CAPITAL LEASE</t>
  </si>
  <si>
    <t>Meet all DLS regulatory requirements and assessment administration standards.</t>
  </si>
  <si>
    <t>YTD</t>
  </si>
  <si>
    <t>WPCF Pump Station Controls</t>
  </si>
  <si>
    <t>Flail Mower Lease (FY18-FY22) to 422</t>
  </si>
  <si>
    <t>Flail Mower Lease FY18-22</t>
  </si>
  <si>
    <t>Pump Stations CWP-14-28 $1.6M Admn</t>
  </si>
  <si>
    <t>permenant debt payments not due until 7/15/19, only 1 interest payment and admin for FY19</t>
  </si>
  <si>
    <t>Solar Array Interest</t>
  </si>
  <si>
    <t>Solar Array Principal</t>
  </si>
  <si>
    <t>Original</t>
  </si>
  <si>
    <t>Proposed</t>
  </si>
  <si>
    <t>T</t>
  </si>
  <si>
    <t>GMRSD SRO Reimb</t>
  </si>
  <si>
    <t>COA front stairs/porch</t>
  </si>
  <si>
    <t>GMRSD Upgrade BMA</t>
  </si>
  <si>
    <t>Sheffield Intercom</t>
  </si>
  <si>
    <t>Hillcrest Intercom</t>
  </si>
  <si>
    <t>WPCF Solar Array</t>
  </si>
  <si>
    <t>Colle Building Renovations</t>
  </si>
  <si>
    <t>Town wide map storage</t>
  </si>
  <si>
    <t>Fiscal Year 2019 0.5% Hazardous Duty</t>
  </si>
  <si>
    <t>FY19 HD=FY18+0.5%</t>
  </si>
  <si>
    <t>Fiscal Year 2019 Base Wages</t>
  </si>
  <si>
    <t>FY19=FY19 HD + 2%</t>
  </si>
  <si>
    <t>Lieutanant</t>
  </si>
  <si>
    <t>15 hrs/wk + 35</t>
  </si>
  <si>
    <t>14 hrs/wk</t>
  </si>
  <si>
    <t>20 hrs/wk</t>
  </si>
  <si>
    <t>Net Levy less excluded debt PLUS actual State Aid PLUS local estimated receipts</t>
  </si>
  <si>
    <t xml:space="preserve">Current balance </t>
  </si>
  <si>
    <t>Capital Improvement Stabilization Fund :should have annual appropriation of 0.2% PYGOR</t>
  </si>
  <si>
    <t>Net GF Debt Svc less Excluded Debt</t>
  </si>
  <si>
    <t>FCTS Assessment</t>
  </si>
  <si>
    <t>Building Admin Asst</t>
  </si>
  <si>
    <t>Interest on ST notes for DPW Facility</t>
  </si>
  <si>
    <t>752-5922</t>
  </si>
  <si>
    <t xml:space="preserve">#1 3/29/18 DPW Facility </t>
  </si>
  <si>
    <t>Retained Earnings to reduce rates</t>
  </si>
  <si>
    <t>FY2020</t>
  </si>
  <si>
    <t>Miscellaneous Supply</t>
  </si>
  <si>
    <t>Investigation Expense</t>
  </si>
  <si>
    <t>Vacation BuyBack</t>
  </si>
  <si>
    <t>Sick Leave BuyBack</t>
  </si>
  <si>
    <t>Other Purchased Services</t>
  </si>
  <si>
    <t xml:space="preserve">Custodial Services </t>
  </si>
  <si>
    <t>Telephone/Internet</t>
  </si>
  <si>
    <t>Book Delivery</t>
  </si>
  <si>
    <t>G+8.5%</t>
  </si>
  <si>
    <t>weeks</t>
  </si>
  <si>
    <t xml:space="preserve">Proration for P/T </t>
  </si>
  <si>
    <t>Fiscal Year 2020 Base Wages</t>
  </si>
  <si>
    <t>G9</t>
  </si>
  <si>
    <t>A4</t>
  </si>
  <si>
    <t>50% Kearsarge Lease - 51.5 % to Town Cap Stab</t>
  </si>
  <si>
    <t>50% Kearsarge Lease - 48.5 % to GM Stab</t>
  </si>
  <si>
    <t xml:space="preserve">Assessors Utility Valuation </t>
  </si>
  <si>
    <t>Amount above "affordable" (From GMRSD Stabilization)</t>
  </si>
  <si>
    <t xml:space="preserve">Request </t>
  </si>
  <si>
    <t>Kearsarge Rental Breakdown</t>
  </si>
  <si>
    <t>50% Stabilization</t>
  </si>
  <si>
    <t>GRMSD 48.5% Operating to Allocation</t>
  </si>
  <si>
    <t>Town 51.5% Operating to Town Capital Stabilization</t>
  </si>
  <si>
    <t>GRMSD 48.5% Capital to GMRSD Stabilization Fund</t>
  </si>
  <si>
    <t>Town 51.5% Capital to Town Capital Stabilization</t>
  </si>
  <si>
    <t>Total allocation</t>
  </si>
  <si>
    <t>To allocate 50% of the Kearsarge lease revenue as general revenue to be included in the affordable assessment calculation. The remaining 50% will be split 48.5% to the GMRSD Stabilization Fund and 51.5% percent to the Town Capital Stabilization Fund. The Finance Committee shall then increase the appropriation to the Town Capital Stabilization Fund by our 51.5% of the 50% of general revenue.  The GMRSD will end up with 48.5% of the total Kearsarge lease revenue, half of the 48.5% in affordable assessment and half of the 48.5% in the GMRSD Stabilization Fund. The town ends up with 51.5% of the total lease revenue in the Town Capital Stabilization Fund.</t>
  </si>
  <si>
    <t>50% General Revenue -Operating</t>
  </si>
  <si>
    <t>Citizen Serve Annual Fees FY20-Dept</t>
  </si>
  <si>
    <t>Citizen Serve 4 licenses</t>
  </si>
  <si>
    <t>Citizen Serve - 2 licenses</t>
  </si>
  <si>
    <t>Citizen Serve 1 license</t>
  </si>
  <si>
    <t>Meals Tax</t>
  </si>
  <si>
    <t>Solid Waste Tipping Fees</t>
  </si>
  <si>
    <t>Street Line Painting</t>
  </si>
  <si>
    <t xml:space="preserve">Flail Lease </t>
  </si>
  <si>
    <t>Tipping Fees (split from 5280)</t>
  </si>
  <si>
    <t xml:space="preserve">Assessors Hydroelectric Valuation </t>
  </si>
  <si>
    <t>CitizenServe 3 licenses</t>
  </si>
  <si>
    <t>steps</t>
  </si>
  <si>
    <t>`</t>
  </si>
  <si>
    <t>Election Tabulators</t>
  </si>
  <si>
    <t>EDIC Signage</t>
  </si>
  <si>
    <t>Town Hall Awning</t>
  </si>
  <si>
    <t>MC Library Moisture Remediation</t>
  </si>
  <si>
    <t>Town Share $22 5/7/16 Siphon</t>
  </si>
  <si>
    <t>#1 3/29/18 DPW Facility 1st Debt</t>
  </si>
  <si>
    <t>Tech School Pump Station Upgrade</t>
  </si>
  <si>
    <t>Compost Facility Engineering</t>
  </si>
  <si>
    <t>Carnegie Doors</t>
  </si>
  <si>
    <t>MF Library Moisture Remediation</t>
  </si>
  <si>
    <t>Incl stipends</t>
  </si>
  <si>
    <t xml:space="preserve">Lead Grounds Maintenance         </t>
  </si>
  <si>
    <t>28.5 hrs/wk</t>
  </si>
  <si>
    <t>Laborer</t>
  </si>
  <si>
    <t>TFHS Sidewalks</t>
  </si>
  <si>
    <t>Sheffield Columns</t>
  </si>
  <si>
    <t>GM Truck</t>
  </si>
  <si>
    <t xml:space="preserve">Millers Falls I &amp; I </t>
  </si>
  <si>
    <t>Town Share #22 5/7/16 Siphon</t>
  </si>
  <si>
    <t>710-5948</t>
  </si>
  <si>
    <t>WPCF Share #22 5/7/16 Siphon</t>
  </si>
  <si>
    <t>#17 Pump Stations CWP-14-28 $1.6M</t>
  </si>
  <si>
    <t>710-5947</t>
  </si>
  <si>
    <t>#17 5/3/14 PS #2</t>
  </si>
  <si>
    <t>#12 5/2/15 Sewer Lines $385k</t>
  </si>
  <si>
    <t>#15 9/12/13 Sewer Lines</t>
  </si>
  <si>
    <t xml:space="preserve">Town Share (90%) Storm Drain </t>
  </si>
  <si>
    <t>Chemicals (orig budg incl in 5280, 5440)</t>
  </si>
  <si>
    <t xml:space="preserve">     </t>
  </si>
  <si>
    <t>CitizenServe 1 license</t>
  </si>
  <si>
    <t>% of Total</t>
  </si>
  <si>
    <t>SELECTBOARD</t>
  </si>
  <si>
    <t>TH</t>
  </si>
  <si>
    <t>52.2 5 day wk</t>
  </si>
  <si>
    <t>adjusted hours in each step for all but Police Officers and Dispatchers on 4/2 schedule.</t>
  </si>
  <si>
    <t>FY20 PPC</t>
  </si>
  <si>
    <t>est students</t>
  </si>
  <si>
    <t>est assess</t>
  </si>
  <si>
    <t>incremental</t>
  </si>
  <si>
    <t>increase</t>
  </si>
  <si>
    <t>710-5950</t>
  </si>
  <si>
    <t>Select Board</t>
  </si>
  <si>
    <t>Fiscal Year 2021 Base Wages</t>
  </si>
  <si>
    <t>FY21= FY20, 0%, new step</t>
  </si>
  <si>
    <t>FY20= Final FY19 HD + 1.5%</t>
  </si>
  <si>
    <t>2.5%</t>
  </si>
  <si>
    <t>J11</t>
  </si>
  <si>
    <t>E11</t>
  </si>
  <si>
    <t>G11</t>
  </si>
  <si>
    <t>B11</t>
  </si>
  <si>
    <t>E9</t>
  </si>
  <si>
    <t>H11</t>
  </si>
  <si>
    <t>A5</t>
  </si>
  <si>
    <t>Using NAGE</t>
  </si>
  <si>
    <t>F8</t>
  </si>
  <si>
    <t>A8</t>
  </si>
  <si>
    <t>SS5</t>
  </si>
  <si>
    <t>S5</t>
  </si>
  <si>
    <t>D7</t>
  </si>
  <si>
    <t>P8</t>
  </si>
  <si>
    <t>FY2021</t>
  </si>
  <si>
    <t>P/T Temp Wages</t>
  </si>
  <si>
    <t>Adverising</t>
  </si>
  <si>
    <t>Equip &lt; $5K</t>
  </si>
  <si>
    <t>Equipment &lt;$5K</t>
  </si>
  <si>
    <t>Police Discretionary (to budget for FY21)</t>
  </si>
  <si>
    <t>Transportation Infrastructure</t>
  </si>
  <si>
    <t xml:space="preserve">  Transportation Infrastructure RRA</t>
  </si>
  <si>
    <t xml:space="preserve">   Colle Receipts Reserved for Appropriation</t>
  </si>
  <si>
    <t>On-Call Detective Stipend</t>
  </si>
  <si>
    <t>Includes 1.5 % Adjustment</t>
  </si>
  <si>
    <t xml:space="preserve">FY22 </t>
  </si>
  <si>
    <t>Excess Capacity</t>
  </si>
  <si>
    <t>includes leaving excess capacity</t>
  </si>
  <si>
    <t>#1 3/29/18 DPW Facility 2nd Debt</t>
  </si>
  <si>
    <t>D6</t>
  </si>
  <si>
    <t>includes stipend</t>
  </si>
  <si>
    <t>FY2021 BUDGET SUMMARY</t>
  </si>
  <si>
    <t>MC Park Surveying</t>
  </si>
  <si>
    <t>Need to meet max</t>
  </si>
  <si>
    <r>
      <t xml:space="preserve">Citizen Serve - </t>
    </r>
    <r>
      <rPr>
        <strike/>
        <sz val="10"/>
        <rFont val="Arial"/>
        <family val="2"/>
      </rPr>
      <t>2</t>
    </r>
    <r>
      <rPr>
        <sz val="10"/>
        <rFont val="Arial"/>
        <family val="2"/>
      </rPr>
      <t xml:space="preserve"> licenses 1 for FY21</t>
    </r>
  </si>
  <si>
    <r>
      <t xml:space="preserve">Citizen Serve </t>
    </r>
    <r>
      <rPr>
        <strike/>
        <sz val="10"/>
        <rFont val="Arial"/>
        <family val="2"/>
      </rPr>
      <t>4</t>
    </r>
    <r>
      <rPr>
        <sz val="10"/>
        <rFont val="Arial"/>
        <family val="2"/>
      </rPr>
      <t xml:space="preserve"> licenses-3 for FY21</t>
    </r>
  </si>
  <si>
    <r>
      <t xml:space="preserve">Citizen Serve </t>
    </r>
    <r>
      <rPr>
        <strike/>
        <sz val="10"/>
        <rFont val="Arial"/>
        <family val="2"/>
      </rPr>
      <t>3</t>
    </r>
    <r>
      <rPr>
        <sz val="10"/>
        <rFont val="Arial"/>
        <family val="2"/>
      </rPr>
      <t xml:space="preserve"> licenses-2 for FY21</t>
    </r>
  </si>
  <si>
    <t>TOC</t>
  </si>
  <si>
    <t>rec'd</t>
  </si>
  <si>
    <t>Executive Assistant FT as of 7/1/20</t>
  </si>
  <si>
    <t>Dept # 480</t>
  </si>
  <si>
    <t>Charging Stations</t>
  </si>
  <si>
    <t>TOTAL CHARGING STATIONS</t>
  </si>
  <si>
    <t>Station Warranty</t>
  </si>
  <si>
    <t>Network Service Fee</t>
  </si>
  <si>
    <t>CHARGING STATIONS</t>
  </si>
  <si>
    <t>D5</t>
  </si>
  <si>
    <t>Treasury &amp; Collections Spec (35/wk)</t>
  </si>
  <si>
    <t>reflects current spending</t>
  </si>
  <si>
    <t>Assistant Planner</t>
  </si>
  <si>
    <t>Coordinator Stipend</t>
  </si>
  <si>
    <t>Millers Falls Overage Charge</t>
  </si>
  <si>
    <t>Totals</t>
  </si>
  <si>
    <t>FY21 NAGE and Non-Union Wage Scale = FY20+1.5%</t>
  </si>
  <si>
    <t>FY20 NAGE and Non-Union Wage Scale = FY19+1% + new step (2.5%)</t>
  </si>
  <si>
    <t>Special Articles from SUF WAG</t>
  </si>
  <si>
    <t>Total Needed</t>
  </si>
  <si>
    <t>less fixed revenues</t>
  </si>
  <si>
    <t>Residential rev needed</t>
  </si>
  <si>
    <t>% increase if no Sp Articles</t>
  </si>
  <si>
    <t>Est Rev</t>
  </si>
  <si>
    <t>WPCF Operating Budget</t>
  </si>
  <si>
    <t>WPCF DPW Subsidiary</t>
  </si>
  <si>
    <t>WPCF Debt</t>
  </si>
  <si>
    <t>WPCF Employee Benefits</t>
  </si>
  <si>
    <t>Special Articles from SUF</t>
  </si>
  <si>
    <t>GMRSD Bldg Assessment Study - Hillcrest</t>
  </si>
  <si>
    <t>GMRSD Bldg Assessment Study - Sheffield</t>
  </si>
  <si>
    <t>GMRSD Bldg Assessment Study - TFHS</t>
  </si>
  <si>
    <t>Resurface Tennis Courts</t>
  </si>
  <si>
    <t>GM Brick/Concrete Repair Admin Bldg</t>
  </si>
  <si>
    <t>COA Roof Replacement</t>
  </si>
  <si>
    <t>Stair and walking path repairs</t>
  </si>
  <si>
    <t>WPCF  Fine Bubble Diffuser</t>
  </si>
  <si>
    <t>WPCF Replace Primary Sludge Pump #2</t>
  </si>
  <si>
    <t>Debt to Operating Ratio</t>
  </si>
  <si>
    <t>Hillcrest Façade &amp; Roof</t>
  </si>
  <si>
    <t>Add'l for WPCF Oil Tank/Vault Removal</t>
  </si>
  <si>
    <t>Res for Excluded Debt</t>
  </si>
  <si>
    <t xml:space="preserve">  Reserve for Excluded Debt</t>
  </si>
  <si>
    <t>Free</t>
  </si>
  <si>
    <t>Cap St</t>
  </si>
  <si>
    <t>Ret Earn</t>
  </si>
  <si>
    <t>Stab</t>
  </si>
  <si>
    <t>Town Operating</t>
  </si>
  <si>
    <t>WPCF Operating</t>
  </si>
  <si>
    <t>Colle Operating</t>
  </si>
  <si>
    <t>Aiport Operating</t>
  </si>
  <si>
    <t>Add to GMRSD Stab</t>
  </si>
  <si>
    <t>Add to Town Cap Stab</t>
  </si>
  <si>
    <t>Add to OPEB Trust</t>
  </si>
  <si>
    <t>Add'l to Town Cap Stab</t>
  </si>
  <si>
    <t>Add'l Appropriation to OPEB</t>
  </si>
  <si>
    <t>Recommended</t>
  </si>
  <si>
    <t>Hillcrest Façade</t>
  </si>
  <si>
    <t>FOR FY20 Actual, include amounts transferred to CARES grant for gen operating</t>
  </si>
  <si>
    <t>CARES</t>
  </si>
  <si>
    <t>Contracted Lab</t>
  </si>
  <si>
    <t>Industrial Pretreatment</t>
  </si>
  <si>
    <t>Computer/Office Exp</t>
  </si>
  <si>
    <t>HVAC</t>
  </si>
  <si>
    <t>Preliminary Equip/Headworks</t>
  </si>
  <si>
    <t>Secondary Equipment</t>
  </si>
  <si>
    <t>Preliminary Equipment</t>
  </si>
  <si>
    <t>Water &amp; Hydrants</t>
  </si>
  <si>
    <t>Primary Effluent Screw Pumps</t>
  </si>
  <si>
    <t>Septage Handling</t>
  </si>
  <si>
    <t>Communications</t>
  </si>
  <si>
    <t>Chlorination</t>
  </si>
  <si>
    <t>Other operational Supplies</t>
  </si>
  <si>
    <t>Lab Supplies</t>
  </si>
  <si>
    <t>Vehicle Supplies Pickups</t>
  </si>
  <si>
    <t>Fiscal Year 2022 Base Wages</t>
  </si>
  <si>
    <t>FY22= FY21, 1.5%</t>
  </si>
  <si>
    <t>FY22 NAGE and Non-Union Wage Scale = FY20+1.5%</t>
  </si>
  <si>
    <t>G+8.5%/11</t>
  </si>
  <si>
    <t>P7</t>
  </si>
  <si>
    <t>E10</t>
  </si>
  <si>
    <t>B4</t>
  </si>
  <si>
    <t>D4</t>
  </si>
  <si>
    <t>C9</t>
  </si>
  <si>
    <t>C7</t>
  </si>
  <si>
    <t>A11</t>
  </si>
  <si>
    <t>A9</t>
  </si>
  <si>
    <t>FY2022</t>
  </si>
  <si>
    <t>FY20 Cannabis Tax to Town Cap Stab</t>
  </si>
  <si>
    <t>FY20 Cannabis Impact Fee</t>
  </si>
  <si>
    <t>GM Entry Canopy</t>
  </si>
  <si>
    <t>Hillcrest Roof</t>
  </si>
  <si>
    <t>Acct Budg</t>
  </si>
  <si>
    <t>Treas Budg</t>
  </si>
  <si>
    <t>solar income</t>
  </si>
  <si>
    <t xml:space="preserve">Pioneer income </t>
  </si>
  <si>
    <t>Unsafe/Unhealth Buildings</t>
  </si>
  <si>
    <t>Unexpected Engineering Expenses</t>
  </si>
  <si>
    <t>Unexpected Project Shortfalls</t>
  </si>
  <si>
    <t>Bld Assessment and Capital Plan</t>
  </si>
  <si>
    <t>Explanation/Description</t>
  </si>
  <si>
    <t>assumes we want to keep at least this level</t>
  </si>
  <si>
    <t>Town Gen Stab to make up for lost Rev</t>
  </si>
  <si>
    <r>
      <t xml:space="preserve">PAYGO Building Renewal &amp; Equipment Replacement will be budgeted at 2% of </t>
    </r>
    <r>
      <rPr>
        <b/>
        <sz val="12"/>
        <rFont val="Arial"/>
        <family val="2"/>
      </rPr>
      <t>Budget</t>
    </r>
    <r>
      <rPr>
        <sz val="12"/>
        <rFont val="Arial"/>
        <family val="2"/>
      </rPr>
      <t xml:space="preserve"> year est GOR</t>
    </r>
  </si>
  <si>
    <t>4% PYGOR</t>
  </si>
  <si>
    <t>Debt Only</t>
  </si>
  <si>
    <t>From DE-1</t>
  </si>
  <si>
    <t>Non-Excluded Debt Only</t>
  </si>
  <si>
    <t>Less Excl Debt</t>
  </si>
  <si>
    <t>Note on future audit fees:</t>
  </si>
  <si>
    <t>base fee</t>
  </si>
  <si>
    <t>plus fee for additional Single Audit of 4K</t>
  </si>
  <si>
    <t xml:space="preserve">Potential point of interest. Tom wants 2 more FT staff for tree work at an est cost of $60k/yr each. MD Tree charges $1100/day for tree work. We've been paying for about 15 days/years. </t>
  </si>
  <si>
    <t xml:space="preserve">Is it worth considering spending an extra $45K a year for 8 more full weeks of tree work (totalling 11 weeks) to catch up on the backlog without permanently increasing the budget? </t>
  </si>
  <si>
    <t>Full Time Wages FY22</t>
  </si>
  <si>
    <t>Workers Comp</t>
  </si>
  <si>
    <t>Part Time Wages (19 hrs)</t>
  </si>
  <si>
    <t>Full Time Overtime</t>
  </si>
  <si>
    <t>Airport Overhead Paid to Town</t>
  </si>
  <si>
    <t>charging OH on 1/2 of % of total operating expenses</t>
  </si>
  <si>
    <t>A3</t>
  </si>
  <si>
    <t>Admin Support Stipend</t>
  </si>
  <si>
    <t>Capital Stabilization</t>
  </si>
  <si>
    <t>TOWN CAPITAL STABILIZATION</t>
  </si>
  <si>
    <t>FY22 is last year for this project</t>
  </si>
  <si>
    <t>Last year is FY26</t>
  </si>
  <si>
    <t>In future, consider also eliminating from available revenues:</t>
  </si>
  <si>
    <t>Vet benefits, Solid Waste Fees, TFFD Dispatch shift, COA Gill reimb,</t>
  </si>
  <si>
    <t>TOTAL HISTORICAL COMMISSION</t>
  </si>
  <si>
    <t>Internet Connection</t>
  </si>
  <si>
    <t>D2</t>
  </si>
  <si>
    <t>B5</t>
  </si>
  <si>
    <t>IT Employee</t>
  </si>
  <si>
    <t>Screw Pump Lease Payment</t>
  </si>
  <si>
    <t>Information Technology</t>
  </si>
  <si>
    <t>Other Prof/Tech/Minutes</t>
  </si>
  <si>
    <t>Odor Control</t>
  </si>
  <si>
    <t>C2</t>
  </si>
  <si>
    <t>increased 3K per SE</t>
  </si>
  <si>
    <t>increased 5350by $250  for foreign language component</t>
  </si>
  <si>
    <t>Gov Budg</t>
  </si>
  <si>
    <t>Franklin Regional Council Govts (FRCOG)</t>
  </si>
  <si>
    <t>Sheffield Façade</t>
  </si>
  <si>
    <t>Sheffield Fire Alarm Upgrade</t>
  </si>
  <si>
    <t>Green Cemetery Start up</t>
  </si>
  <si>
    <t>Green Burial Phase 1 - to budget</t>
  </si>
  <si>
    <t>Sheffield Library Wall - withdrawn</t>
  </si>
  <si>
    <t>Turners Falls Tennis Courts (Mont share)</t>
  </si>
  <si>
    <t>500 Ave A Phase II Environmental Study</t>
  </si>
  <si>
    <t>increased from $105k to $115k after analysis</t>
  </si>
  <si>
    <t>From "Surcharge for Infiltration and Inflow Payable by the Town of Montague"</t>
  </si>
  <si>
    <t>I.</t>
  </si>
  <si>
    <t xml:space="preserve"> I &amp; I costs in Turners Falls, Montague City, and Montague Center</t>
  </si>
  <si>
    <t>Cost to remove grit contained in I &amp; I</t>
  </si>
  <si>
    <t>I &amp; I solids as percent of total solids (calculation below).</t>
  </si>
  <si>
    <t>Total cost to remove grit - estimated at FY21 total payments to Waste Management for grit removal</t>
  </si>
  <si>
    <t>Est cost to remove grit due to I &amp; I</t>
  </si>
  <si>
    <t>Increased electrical costs for increased pumping</t>
  </si>
  <si>
    <t>Budgeted Electricity</t>
  </si>
  <si>
    <t>Document's estimated % of electricity used for primary screw pump</t>
  </si>
  <si>
    <t>I &amp; I as % of total flow (calculation below)</t>
  </si>
  <si>
    <t>Electricity x % for pump x I &amp; I %</t>
  </si>
  <si>
    <t>Increased amount of chlorine in primary clarifier and chlorine contact tank</t>
  </si>
  <si>
    <t>Estimated FY22 Chlorine cost for primary clarifier and chlorine contact tank</t>
  </si>
  <si>
    <t>[FY21 total chlorine purchases = 13,257.6. Estimating 75% used for above purpose per info in document]</t>
  </si>
  <si>
    <t>Cost of chlorine for primary clarifier and chlorine contact tank for I &amp; I flow</t>
  </si>
  <si>
    <t>Increased labor due to grit handling, equipment maintenance, chlorine handling, and process control modifications</t>
  </si>
  <si>
    <t>Document says this is estimated at 1 FTE employee. FY22 Budget has 8 FTE, so 1 FTE = 1/8 total labor costs</t>
  </si>
  <si>
    <t>OT Wages</t>
  </si>
  <si>
    <t>1/8 total labor costs</t>
  </si>
  <si>
    <t>II.</t>
  </si>
  <si>
    <t>Increased fee from Erving due to I &amp; I from Millers Falls</t>
  </si>
  <si>
    <t xml:space="preserve">Trombley called this MF WWTP flow from Montague, what we're calling </t>
  </si>
  <si>
    <t>Erving's flow from Millers Falls. (For FY21 used two calendar year avg 2018-2019)</t>
  </si>
  <si>
    <t>Less the Millers Metered Flow-2 year avg of the TFWD metered flow to MF</t>
  </si>
  <si>
    <t>total I &amp; I from Millers Falls going to Erving</t>
  </si>
  <si>
    <t xml:space="preserve">as a %, rounded to 6 decimal places </t>
  </si>
  <si>
    <t>Assessment to Montague from Erving for treating wastewater from MF, 2.5% increase/yr.</t>
  </si>
  <si>
    <t>Cost of treating I &amp; I from Millers Falls by Erving</t>
  </si>
  <si>
    <t>Calculation of I &amp; I as % of total Montague WPCF Flow</t>
  </si>
  <si>
    <t>2 calendar year average Montague WPCF flow</t>
  </si>
  <si>
    <t>Less Montague metered flow (MC = 7,310,000, LP = 3,445,175, TF+Mcity= 193,004,700)</t>
  </si>
  <si>
    <t>Total I &amp; I coming into Montague WPCF</t>
  </si>
  <si>
    <t>I &amp; I as % of total flow</t>
  </si>
  <si>
    <t>Calculation of I &amp; I solids as % of total solids</t>
  </si>
  <si>
    <t>Montague WPCF influent solids in pounds/year. This is a 2 year average.</t>
  </si>
  <si>
    <t>pounds of solids due to I &amp; I. This uses the I &amp; I flow calculated above, and 150</t>
  </si>
  <si>
    <t xml:space="preserve"> mg/l as the percentage of solids in the I &amp; I</t>
  </si>
  <si>
    <t>I &amp; I solids as percent of total solids. This % will be used in other calculations.</t>
  </si>
  <si>
    <t>AIRPORT DEBT</t>
  </si>
  <si>
    <t>AIRPORT EMPLOYEE BENEFITS</t>
  </si>
  <si>
    <t>Airport BENEFITS</t>
  </si>
  <si>
    <t>General Category: Public Works - Airport</t>
  </si>
  <si>
    <t>Dept # 600-910</t>
  </si>
  <si>
    <t>Airport DEBT</t>
  </si>
  <si>
    <t>Dept # 600-700</t>
  </si>
  <si>
    <t>710-5901</t>
  </si>
  <si>
    <t>710-5902</t>
  </si>
  <si>
    <t>751-5901</t>
  </si>
  <si>
    <t>751-5902</t>
  </si>
  <si>
    <t>Purchase Pioneer Aviation</t>
  </si>
  <si>
    <t>Fuel Pump Upgrade</t>
  </si>
  <si>
    <t>Less debt/Ben</t>
  </si>
  <si>
    <t>Stipend - EM Director</t>
  </si>
  <si>
    <t>MGL Chapter 44, section 31D states that snow and ice budgets may be overspent in an emergency provided that the current budget equals or exceeds the prior year's budget. There is no requirement to increase the budget.</t>
  </si>
  <si>
    <t>Surplus/Shortfall</t>
  </si>
  <si>
    <t xml:space="preserve"> Final Surplus/Shortfall</t>
  </si>
  <si>
    <t>added 6K to 5124</t>
  </si>
  <si>
    <t xml:space="preserve">Operating Subtotal </t>
  </si>
  <si>
    <t>Operating + Policies Subtotal</t>
  </si>
  <si>
    <t>Op + Policies + Articles Total</t>
  </si>
  <si>
    <t>Assistant Treas/Coll</t>
  </si>
  <si>
    <t xml:space="preserve">Annual Audit </t>
  </si>
  <si>
    <t>Tree Removal &amp; Trimming</t>
  </si>
  <si>
    <t>Treasury &amp; Collections Spec (20/wk)</t>
  </si>
  <si>
    <t>DPW 6 wheel dump truck</t>
  </si>
  <si>
    <t>WPCF BORROWING</t>
  </si>
  <si>
    <t>WPCF RETAINED EARNINGS</t>
  </si>
  <si>
    <t>WPCF USER FEES</t>
  </si>
  <si>
    <t>Add to WPCF Captial Stabilization Fund</t>
  </si>
  <si>
    <t>Town  Gen</t>
  </si>
  <si>
    <t xml:space="preserve">FCTS </t>
  </si>
  <si>
    <t>GMRSD STABILIZATION</t>
  </si>
  <si>
    <t>CANNABIS IMPACT STABILIZATION</t>
  </si>
  <si>
    <t>Cannabis Impact Stabilization</t>
  </si>
  <si>
    <t xml:space="preserve">Use Cannabis Impact Stabilization </t>
  </si>
  <si>
    <t>Cannabis</t>
  </si>
  <si>
    <t>WPCF CAPITAL OUTLAY</t>
  </si>
  <si>
    <t>Assistant Treas/Tax Collector</t>
  </si>
  <si>
    <t>21 hrs/wk</t>
  </si>
  <si>
    <t>7 hrs/wk</t>
  </si>
  <si>
    <t>40 hrs/wk</t>
  </si>
  <si>
    <t>Positions on top scale FY22</t>
  </si>
  <si>
    <t>Positions on top scale FY23</t>
  </si>
  <si>
    <t>5th St Bridge Easement</t>
  </si>
  <si>
    <t>PV Mosquito Control Dist</t>
  </si>
  <si>
    <t>FT Clerk</t>
  </si>
  <si>
    <t>Total Principal</t>
  </si>
  <si>
    <t>Amount retired in 10 years</t>
  </si>
  <si>
    <t>% retired in 10 years</t>
  </si>
  <si>
    <t>Hours FY23</t>
  </si>
  <si>
    <t>7/1/22 is Friday</t>
  </si>
  <si>
    <t>6/30/23 is Friday</t>
  </si>
  <si>
    <t>52.0 4 day wk</t>
  </si>
  <si>
    <t xml:space="preserve">FY23 Finance Policy Guidelines/Calculations </t>
  </si>
  <si>
    <t xml:space="preserve">FY21 Operating Revenues: </t>
  </si>
  <si>
    <t>FY21 General Operating Revenues (PYGOR)</t>
  </si>
  <si>
    <t>FY21 GOR</t>
  </si>
  <si>
    <t>FY23 Minimum</t>
  </si>
  <si>
    <t>FY23 Operating Revenues: Net Levy less excluded debt + actual State Aid + local estimated receipts</t>
  </si>
  <si>
    <t>Town Gen Stab</t>
  </si>
  <si>
    <t>GMRSD Stab</t>
  </si>
  <si>
    <t>FCTS Stab</t>
  </si>
  <si>
    <t>Town Cap Stab</t>
  </si>
  <si>
    <t>SCADA Controls</t>
  </si>
  <si>
    <t>Primary Equipment</t>
  </si>
  <si>
    <t>FY23 Gross Excludable</t>
  </si>
  <si>
    <t>FY22 Net Excluded</t>
  </si>
  <si>
    <t>FY23 Net Excluded</t>
  </si>
  <si>
    <t>FY2022 Gross</t>
  </si>
  <si>
    <t>Fiscal Year 2023 Base Wages</t>
  </si>
  <si>
    <t>=FY22</t>
  </si>
  <si>
    <t>Annual FT hours</t>
  </si>
  <si>
    <t xml:space="preserve"> Amount Needed (from budget requests)</t>
  </si>
  <si>
    <t>FY22 Budget</t>
  </si>
  <si>
    <t>FY2023</t>
  </si>
  <si>
    <t>PT Temp</t>
  </si>
  <si>
    <t>CARES ineligible Exp</t>
  </si>
  <si>
    <t>CARES Ineligible Exp</t>
  </si>
  <si>
    <t>Other Prof/Tech</t>
  </si>
  <si>
    <t>Alarm Monitoring</t>
  </si>
  <si>
    <t xml:space="preserve">Bldg R &amp; M </t>
  </si>
  <si>
    <t>Exp from Revolving fund</t>
  </si>
  <si>
    <t>Revenue Estimates for FY2023</t>
  </si>
  <si>
    <t>5th St Pedestrian Bridge</t>
  </si>
  <si>
    <t>MC Rood Flooding</t>
  </si>
  <si>
    <t>COA Siding</t>
  </si>
  <si>
    <t>Sewer Camera</t>
  </si>
  <si>
    <t>Budgeted Surplus</t>
  </si>
  <si>
    <t>Clerk 20 hrs (25 FY23)</t>
  </si>
  <si>
    <t>D8</t>
  </si>
  <si>
    <t>P5</t>
  </si>
  <si>
    <t>D11</t>
  </si>
  <si>
    <t>G4</t>
  </si>
  <si>
    <t>C5</t>
  </si>
  <si>
    <t>E5</t>
  </si>
  <si>
    <t>C10</t>
  </si>
  <si>
    <t>C4</t>
  </si>
  <si>
    <t>E7</t>
  </si>
  <si>
    <t>F10</t>
  </si>
  <si>
    <t>B7</t>
  </si>
  <si>
    <t>A10</t>
  </si>
  <si>
    <t>A7</t>
  </si>
  <si>
    <t xml:space="preserve">Laborer                                       </t>
  </si>
  <si>
    <t>H7</t>
  </si>
  <si>
    <t>Flail Mower Lease</t>
  </si>
  <si>
    <t>Green Cemetery Startup</t>
  </si>
  <si>
    <t>FT wages</t>
  </si>
  <si>
    <t>FY23= FY22+</t>
  </si>
  <si>
    <t>FY23 NAGE and Non-Union Wage Scale = FY22+</t>
  </si>
  <si>
    <t>increase due to switch to cloud-based software</t>
  </si>
  <si>
    <t>Software Upgrade - Cloud Based</t>
  </si>
  <si>
    <t>Software Upgrade</t>
  </si>
  <si>
    <t>Vendor will only support existing software through FY24</t>
  </si>
  <si>
    <t>Other Prof/Tech (contingency for upgrade)</t>
  </si>
  <si>
    <t>in case additional conversion costs arise</t>
  </si>
  <si>
    <t>F7</t>
  </si>
  <si>
    <t>rec'd FCRWMD proposed budget/assessments</t>
  </si>
  <si>
    <t>per current contract</t>
  </si>
  <si>
    <t>anticipation of new technology</t>
  </si>
  <si>
    <t>rec'd retirement assessment</t>
  </si>
  <si>
    <t>#1 3/29/18 DPW Facility Final Debt</t>
  </si>
  <si>
    <t>#28 5/7/16 Strathmore Abatement</t>
  </si>
  <si>
    <t>The current balance of the FCTS Stabilization fund is 141,395</t>
  </si>
  <si>
    <t>WAG 5% Incr</t>
  </si>
  <si>
    <t>FY22 Actual</t>
  </si>
  <si>
    <t>New Sgt</t>
  </si>
  <si>
    <t>S3</t>
  </si>
  <si>
    <t>Increase from PY Commitments</t>
  </si>
  <si>
    <t>TOTAL COST TO TOWN TO TREAT I &amp; I IN FY23</t>
  </si>
  <si>
    <t>Actual Rev</t>
  </si>
  <si>
    <t>% increase from PY based on PY1 Commitments</t>
  </si>
  <si>
    <t>FY22 Commitment #1 x2</t>
  </si>
  <si>
    <t>sewer camera</t>
  </si>
  <si>
    <t>COA siding</t>
  </si>
  <si>
    <t>Debt s/b 4-6% PYGOR</t>
  </si>
  <si>
    <t>Available for PAYGO Bldg/equip</t>
  </si>
  <si>
    <t>Sidewalks and Paving</t>
  </si>
  <si>
    <t>Add to Conservation Fund</t>
  </si>
  <si>
    <t>WPCF Screw Pumps</t>
  </si>
  <si>
    <t>MC Library Masonry</t>
  </si>
  <si>
    <t>WPCF Backup Generator</t>
  </si>
  <si>
    <t>Town Hall Main Roof</t>
  </si>
  <si>
    <t>Shea Front Roof</t>
  </si>
  <si>
    <t>Bal CI Stab</t>
  </si>
  <si>
    <t>WPCF Capital Stabilization</t>
  </si>
  <si>
    <t>WPCF CAPITAL STABILIZATION</t>
  </si>
  <si>
    <t>Confirm steps</t>
  </si>
  <si>
    <t>step increase</t>
  </si>
  <si>
    <t>remove part-time position</t>
  </si>
  <si>
    <t>increase in postage fees</t>
  </si>
  <si>
    <t>consistently below budget</t>
  </si>
  <si>
    <t>increase in Asst TC Bond</t>
  </si>
  <si>
    <t>increase in tax title activity</t>
  </si>
  <si>
    <t>increase in costs for toner, tax bill paper, and vendor checks</t>
  </si>
  <si>
    <t>contract renews Aug 22, unsure of increases</t>
  </si>
  <si>
    <t>Utility Valuation Services</t>
  </si>
  <si>
    <t>Increase in employee enrollments due to new hires</t>
  </si>
  <si>
    <t>1st year of assessment</t>
  </si>
  <si>
    <t>assumes 5% rate inc</t>
  </si>
  <si>
    <t>based on YTD actual + incr for potential wage increases</t>
  </si>
  <si>
    <t>FY23 Affordable Assessment Calculation</t>
  </si>
  <si>
    <t>Other Professional - Minutes</t>
  </si>
  <si>
    <t>to round total</t>
  </si>
  <si>
    <t>expected inflation</t>
  </si>
  <si>
    <t>Office 365 Licenses</t>
  </si>
  <si>
    <t>Email,Collab Tools, DocStorage</t>
  </si>
  <si>
    <t>Office365 Licenses</t>
  </si>
  <si>
    <t>allows for 2 add'l licenses and 5% inflation</t>
  </si>
  <si>
    <t>FY22 budget allocation too high</t>
  </si>
  <si>
    <t>Note:</t>
  </si>
  <si>
    <t>The FY22 Budget originally had $70K for consultant. New consultant much less, so excess was reallocated among line items.</t>
  </si>
  <si>
    <t>Selectboard assigned WR cell stipend 11/15/21</t>
  </si>
  <si>
    <t>municipal share for WR participation in MMA/Suffolk Certificate program in Local Govt Leadership and Management. (one time expense)</t>
  </si>
  <si>
    <t>0 licenses needed</t>
  </si>
  <si>
    <t>Supplement to support development of Comprehensive Plan and Canal District plan in FY23: printing, graphics, public engagment</t>
  </si>
  <si>
    <t>Staffing</t>
  </si>
  <si>
    <t>To support minor building repairs and preventative maintenance</t>
  </si>
  <si>
    <t>To support subscription costs of 4 WIFI hotspots</t>
  </si>
  <si>
    <t>To support publicity campaigns</t>
  </si>
  <si>
    <t>To support adult and teen programming</t>
  </si>
  <si>
    <t>To support ongoing preservation of local history collection</t>
  </si>
  <si>
    <t xml:space="preserve">Wages Full Time </t>
  </si>
  <si>
    <t>step + cola and expected pay grade raise for clerk</t>
  </si>
  <si>
    <t>requesting 3 printers, add'l inc cost</t>
  </si>
  <si>
    <t>Incr rate and hours of nurse</t>
  </si>
  <si>
    <t>Director increase from 17 to 21 hrs/wk)</t>
  </si>
  <si>
    <t>hours increase</t>
  </si>
  <si>
    <t>anticipated energy cost incr</t>
  </si>
  <si>
    <t xml:space="preserve">I10* </t>
  </si>
  <si>
    <t>*add'l steps per contract, but capped at I10</t>
  </si>
  <si>
    <t>trending down (no longer have 2 officers on paid leave)</t>
  </si>
  <si>
    <t>Increase/Lease</t>
  </si>
  <si>
    <t>increase/cost</t>
  </si>
  <si>
    <t>increase/costs</t>
  </si>
  <si>
    <t>initial/Software</t>
  </si>
  <si>
    <t>add'l dispatcher</t>
  </si>
  <si>
    <t>offset to add'l dispatcher</t>
  </si>
  <si>
    <t>long-time dispatcher left in FY21</t>
  </si>
  <si>
    <t>Utility Appraisal Service</t>
  </si>
  <si>
    <t>Change in staffing</t>
  </si>
  <si>
    <t>Put in budget instead of special article</t>
  </si>
  <si>
    <t>staff meet new thresholds</t>
  </si>
  <si>
    <t>printing in-house now</t>
  </si>
  <si>
    <t>based on actuals trending down</t>
  </si>
  <si>
    <t>32 mtgs @$15/hr x 3 hrs</t>
  </si>
  <si>
    <t>cut to level fund total</t>
  </si>
  <si>
    <t>staff change</t>
  </si>
  <si>
    <t>return of in-person training</t>
  </si>
  <si>
    <t>new code cycle</t>
  </si>
  <si>
    <t>inspection volume back to normal</t>
  </si>
  <si>
    <t>projecting 4% rate increase</t>
  </si>
  <si>
    <t>no water at landfill/used to be animal shelter</t>
  </si>
  <si>
    <t>contractual agreement</t>
  </si>
  <si>
    <t>192 employees rarely have shift diff</t>
  </si>
  <si>
    <t>FY19-21 avg was $2,100</t>
  </si>
  <si>
    <t>contractual agrrement</t>
  </si>
  <si>
    <t>FY21 retirements</t>
  </si>
  <si>
    <t>no planned retirements FY22</t>
  </si>
  <si>
    <t>overspent FY21 and FY22 as of Dec</t>
  </si>
  <si>
    <t>office equip fairly new, move to other equip</t>
  </si>
  <si>
    <t>move from office equip to other equip</t>
  </si>
  <si>
    <t>no more pagers</t>
  </si>
  <si>
    <t>need more for sidewalk and road repair</t>
  </si>
  <si>
    <t>use tree warden budget for most trees</t>
  </si>
  <si>
    <t>paid off!</t>
  </si>
  <si>
    <t>FY21 retirement</t>
  </si>
  <si>
    <t>more to fix/replace plows</t>
  </si>
  <si>
    <t>Laboratory Manager</t>
  </si>
  <si>
    <t xml:space="preserve">New position and normal benefits increases </t>
  </si>
  <si>
    <t>trending, price of oil increase</t>
  </si>
  <si>
    <t>Preliminary new hauler contract pricing</t>
  </si>
  <si>
    <t>Engineering Assistance w/ projects for FY23 (10k)</t>
  </si>
  <si>
    <t>PFAS Required Testing added</t>
  </si>
  <si>
    <t>previously under 5300</t>
  </si>
  <si>
    <t xml:space="preserve">trending use, older buildings repair </t>
  </si>
  <si>
    <t>shared w/5401,5402,5403,5407</t>
  </si>
  <si>
    <t>previously under 5400</t>
  </si>
  <si>
    <t>From 5470</t>
  </si>
  <si>
    <t>from 5440</t>
  </si>
  <si>
    <t>from 5470</t>
  </si>
  <si>
    <t>6k moved to 5446, 4k moved to 5415</t>
  </si>
  <si>
    <t>increased from 5440</t>
  </si>
  <si>
    <t>20k moved to 5418, 10k to 5409</t>
  </si>
  <si>
    <t>decrease in town IT consultant</t>
  </si>
  <si>
    <t>3 elections</t>
  </si>
  <si>
    <t>Asst Town Administrator</t>
  </si>
  <si>
    <t>I2</t>
  </si>
  <si>
    <t>Selectboard AA</t>
  </si>
  <si>
    <t>B2</t>
  </si>
  <si>
    <t>Add FT Asst TA</t>
  </si>
  <si>
    <t>Add PT clerical</t>
  </si>
  <si>
    <t>TA Now eligible, ATA possible</t>
  </si>
  <si>
    <t>Add ATA cell stipend</t>
  </si>
  <si>
    <t>2nd PD/Conf attendee</t>
  </si>
  <si>
    <t>past overage + new users</t>
  </si>
  <si>
    <t>new PC, office equipment</t>
  </si>
  <si>
    <t>increased events and PD</t>
  </si>
  <si>
    <t>based on UPVVD estimate</t>
  </si>
  <si>
    <t>closely budgeted, subject to overages</t>
  </si>
  <si>
    <t>intention to level fund</t>
  </si>
  <si>
    <t>voted figure</t>
  </si>
  <si>
    <t>4% is inflation hedge</t>
  </si>
  <si>
    <t>Loan paid off in FY22</t>
  </si>
  <si>
    <t>reduced payment - final year</t>
  </si>
  <si>
    <t>Level funded</t>
  </si>
  <si>
    <t>D7 to D9</t>
  </si>
  <si>
    <t>Operations Mangager 19 hrs to 30 hours</t>
  </si>
  <si>
    <t>Total Budget</t>
  </si>
  <si>
    <t>Grant for Debt</t>
  </si>
  <si>
    <t xml:space="preserve">Airport Manager </t>
  </si>
  <si>
    <t>costs shifted to tenant</t>
  </si>
  <si>
    <t>A3 s/b A4</t>
  </si>
  <si>
    <t>Lease= 45,000 Other Rental Revenue= 5,000 User Fees / Sales= 10,000</t>
  </si>
  <si>
    <t xml:space="preserve">Warehouse= 110,000 Repair Shop= 28,000 General Operations= 30,000 Other Rental Revenue= 18,500 </t>
  </si>
  <si>
    <t>Usage / Operation Fees=6000</t>
  </si>
  <si>
    <t>Total Rev</t>
  </si>
  <si>
    <t>Excess</t>
  </si>
  <si>
    <t>Revenue Estimates &amp; details</t>
  </si>
  <si>
    <t>WPCF Foreman</t>
  </si>
  <si>
    <t>Vending Ex</t>
  </si>
  <si>
    <t>training for new employee</t>
  </si>
  <si>
    <t>new copier</t>
  </si>
  <si>
    <t>per new software bid</t>
  </si>
  <si>
    <t>For FY23</t>
  </si>
  <si>
    <t>Rental - 50% of Kearsarge + other rents</t>
  </si>
  <si>
    <t>support for additional 3 tabulators</t>
  </si>
  <si>
    <t>ballot layout and coding - xtra elections</t>
  </si>
  <si>
    <t>previously underbudgeted - incr to match actual expenses</t>
  </si>
  <si>
    <t>Step Increase from D7 to D9</t>
  </si>
  <si>
    <t>Step Increase and 19 to 30 hours</t>
  </si>
  <si>
    <t>No Change</t>
  </si>
  <si>
    <t>Rate and Use Increase Expected</t>
  </si>
  <si>
    <t>Minor Material Cost Increase</t>
  </si>
  <si>
    <t>All components are new, no repairs expected</t>
  </si>
  <si>
    <t>No Legal Needs Expected</t>
  </si>
  <si>
    <t>Additional Training for Fuel / Safety Systems</t>
  </si>
  <si>
    <t>Certifications for both Full Time Workers</t>
  </si>
  <si>
    <t>Website Maintenance and Print Ads</t>
  </si>
  <si>
    <t>Offsite Conference &amp; Increase of Hotel Costs</t>
  </si>
  <si>
    <t>Increase Based on MIIA Estimates</t>
  </si>
  <si>
    <t>new benefited employee</t>
  </si>
  <si>
    <t>based on actual wages</t>
  </si>
  <si>
    <t xml:space="preserve">FOR FY23, THE SCHOOL COMMITTEE WILL HAVE THEIR FINAL VOTE ON </t>
  </si>
  <si>
    <t>THE GMRSD BUDGET ON MARCH 8. FC SHOULD DECIDE FINAL AA # FEB 23rd</t>
  </si>
  <si>
    <t>Food for Pollworkers</t>
  </si>
  <si>
    <t>step increase for Asst TC</t>
  </si>
  <si>
    <t>and archive social media</t>
  </si>
  <si>
    <t>ballots for 3 elections, bookbindin</t>
  </si>
  <si>
    <t>vote by mail</t>
  </si>
  <si>
    <t>fireproof file cabinet</t>
  </si>
  <si>
    <t xml:space="preserve">food for pollworkers previously </t>
  </si>
  <si>
    <t>included in 5420</t>
  </si>
  <si>
    <t>Operations Manager</t>
  </si>
  <si>
    <t>GM SC voting on this soon</t>
  </si>
  <si>
    <t>Unity Park security cameras</t>
  </si>
  <si>
    <t>Parks &amp; Rec riding lawn mower</t>
  </si>
  <si>
    <t>Engineering for Carnegie Parking Lot/Drainage</t>
  </si>
  <si>
    <t>Increase Library FY22 budget for retirement expenses</t>
  </si>
  <si>
    <t>Fix Burnham St Cemetery retaining wall</t>
  </si>
  <si>
    <t>Notes:</t>
  </si>
  <si>
    <t>updated ACO per Williams</t>
  </si>
  <si>
    <t>minimum wage increase</t>
  </si>
  <si>
    <t>add extra summer groundskeeper for Parks &amp; Rec</t>
  </si>
  <si>
    <t>moved $5 from travel to Dues</t>
  </si>
  <si>
    <t>Admin Asst</t>
  </si>
  <si>
    <t>SB did not support additional PHN expense or Adm Asst regrade at this time</t>
  </si>
  <si>
    <t>BOA AssessPro Upgrade</t>
  </si>
  <si>
    <t>RRA</t>
  </si>
  <si>
    <t>added $7800 to line 5350 for assessment ctr for add'l sgt.</t>
  </si>
  <si>
    <t>assessment ctr for new sgt</t>
  </si>
  <si>
    <t>adjusted HIN per HCGIT rate vote</t>
  </si>
  <si>
    <t>adjusted HIN per HCGIT rate vote and analysis of current costs. Allows for 2 new employees, and one plan change for current employees</t>
  </si>
  <si>
    <t>Hins recalculated based on current cost, HCGIT rate vote, and allowance for new employees and coverage changes</t>
  </si>
  <si>
    <t>Carnegie Drainage/Moisture/Flooring</t>
  </si>
  <si>
    <t>rec'd voted FRCOG assessment, changed from 53,385 to 51,558</t>
  </si>
  <si>
    <t>Total I &amp; I Town Cost</t>
  </si>
  <si>
    <t>Total 440</t>
  </si>
  <si>
    <t>Total 661</t>
  </si>
  <si>
    <t>as % of</t>
  </si>
  <si>
    <t>Smith Vocational. FY22 Tuition will be 15,463</t>
  </si>
  <si>
    <t>updated 2/1/22 per CL info</t>
  </si>
  <si>
    <t>Est 3/4/22</t>
  </si>
  <si>
    <t>Assessors hard/software</t>
  </si>
  <si>
    <t>Hillcrest Flooring</t>
  </si>
  <si>
    <t>Shea Theater Front Roof</t>
  </si>
  <si>
    <t>Carnegie Basement</t>
  </si>
  <si>
    <t>Vactor Lease Est</t>
  </si>
  <si>
    <t>total Paygo since last ATM</t>
  </si>
  <si>
    <t>BOH Vehcile- SB to discuss first</t>
  </si>
  <si>
    <t>changed 5213 from 21K to 16,500 per CL</t>
  </si>
  <si>
    <t>Flail Mower Lease FY18-22, Vactor 23-26</t>
  </si>
  <si>
    <t>added lease for sewer vactor per 3-3-22 STM. 1st payment FY22, last payment FY26</t>
  </si>
  <si>
    <t>EXCLUDES REQUESTED GRADE CHANGE</t>
  </si>
  <si>
    <t>Removed AA regrade and Nurse increase per BOH at FC mtg 2/9</t>
  </si>
  <si>
    <t>increased lease payment to 125k</t>
  </si>
  <si>
    <t>Smith Votech Tuition/Trans (FY22-FY24)</t>
  </si>
  <si>
    <t>rec'd FRCOG FCECS assessment. Changed from 6858 to 7161</t>
  </si>
  <si>
    <t>reduced both line item requests by 5K per SE email of 2/16</t>
  </si>
  <si>
    <t>DPW Discretionary CIC recommends $50K</t>
  </si>
  <si>
    <t>allow for COLA</t>
  </si>
  <si>
    <t xml:space="preserve">needed cuts </t>
  </si>
  <si>
    <t>No increase in premiums but 4 new hire enrollments (1 PPO/1 HMO ind. - 1 EMP +1 - 1 PPO fam)</t>
  </si>
  <si>
    <t>$8K Res Fund Trans</t>
  </si>
  <si>
    <t>Free Cash 3/4/22</t>
  </si>
  <si>
    <t>Available Stabilizations 3/4/22 (non-sewer)</t>
  </si>
  <si>
    <t>bal was 320,078 before 3/3 STM. Assumes:</t>
  </si>
  <si>
    <t>updated based on 2/24 YTD/7x12</t>
  </si>
  <si>
    <t>started at 9.31% using only 200K as est septage</t>
  </si>
  <si>
    <t>FCTS regular assessment = 1,003,999; capital assessment = 25,567; total = 1,029,566</t>
  </si>
  <si>
    <r>
      <t>FY23actual assessment is $</t>
    </r>
    <r>
      <rPr>
        <b/>
        <i/>
        <sz val="12"/>
        <rFont val="Times New Roman"/>
        <family val="1"/>
      </rPr>
      <t>1,029,566</t>
    </r>
    <r>
      <rPr>
        <sz val="12"/>
        <rFont val="Times New Roman"/>
        <family val="1"/>
      </rPr>
      <t xml:space="preserve">, leaving a surplus of </t>
    </r>
    <r>
      <rPr>
        <b/>
        <i/>
        <sz val="12"/>
        <rFont val="Times New Roman"/>
        <family val="1"/>
      </rPr>
      <t>$134,356</t>
    </r>
  </si>
  <si>
    <t>FCTS Total Enrollment exp for FY23 assessment = 546, of which 93 are from Montague</t>
  </si>
  <si>
    <r>
      <t>3 year average ((+105+107+</t>
    </r>
    <r>
      <rPr>
        <b/>
        <sz val="12"/>
        <rFont val="Times New Roman"/>
        <family val="1"/>
      </rPr>
      <t>93</t>
    </r>
    <r>
      <rPr>
        <sz val="12"/>
        <rFont val="Times New Roman"/>
        <family val="1"/>
      </rPr>
      <t>)/3)=</t>
    </r>
    <r>
      <rPr>
        <b/>
        <sz val="12"/>
        <rFont val="Times New Roman"/>
        <family val="1"/>
      </rPr>
      <t>102</t>
    </r>
    <r>
      <rPr>
        <sz val="12"/>
        <rFont val="Times New Roman"/>
        <family val="1"/>
      </rPr>
      <t xml:space="preserve"> times FY22 PPC (1,221,005/107=11,411); 102 times $11,411 = </t>
    </r>
    <r>
      <rPr>
        <b/>
        <sz val="12"/>
        <rFont val="Times New Roman"/>
        <family val="1"/>
      </rPr>
      <t>1,163,922</t>
    </r>
    <r>
      <rPr>
        <sz val="12"/>
        <rFont val="Times New Roman"/>
        <family val="1"/>
      </rPr>
      <t xml:space="preserve"> expected assessment; </t>
    </r>
  </si>
  <si>
    <t>Add'l Approp to FCTS Stab per policy</t>
  </si>
  <si>
    <r>
      <t xml:space="preserve">Policy is to transfer surplus in excess of $10,000 </t>
    </r>
    <r>
      <rPr>
        <b/>
        <i/>
        <sz val="12"/>
        <rFont val="Times New Roman"/>
        <family val="1"/>
      </rPr>
      <t>(124,356</t>
    </r>
    <r>
      <rPr>
        <sz val="12"/>
        <rFont val="Times New Roman"/>
        <family val="1"/>
      </rPr>
      <t>) to the FCTS Stabilization fund.</t>
    </r>
  </si>
  <si>
    <t>FY22 per pupil is 11,411. Expected enrollment for FY23 is 93</t>
  </si>
  <si>
    <t>Per discussion with Tom B, reduced Pager Pay request by $6K to level fund budget</t>
  </si>
  <si>
    <t>Add to FCTS Cap Stab</t>
  </si>
  <si>
    <t>Solid Waste Removal - Republic</t>
  </si>
  <si>
    <t>Recyclables Removal - Republic</t>
  </si>
  <si>
    <t>Recyclables - Non Republic</t>
  </si>
  <si>
    <t>Reallocate</t>
  </si>
  <si>
    <t>Line Items</t>
  </si>
  <si>
    <t>Broke out non-Republic recycling costs to new line item</t>
  </si>
  <si>
    <t>Sewer Vac and Router Truck Lease</t>
  </si>
  <si>
    <t>added $2,500 each to 5580 anmd 5250 per CW (offset be eliminating PD Disc request)</t>
  </si>
  <si>
    <t>afterschool STEM enrichment programming</t>
  </si>
  <si>
    <t>added $5K to 5481</t>
  </si>
  <si>
    <t>Sale of</t>
  </si>
  <si>
    <t>Real Estate</t>
  </si>
  <si>
    <t>Vactor</t>
  </si>
  <si>
    <t>Libraries, Roofs</t>
  </si>
  <si>
    <t>Cash</t>
  </si>
  <si>
    <t>Replenish Bid Overrun Article</t>
  </si>
  <si>
    <t>GM &amp; FCTS Substance Abuse Counselors</t>
  </si>
  <si>
    <t>After School STEM</t>
  </si>
  <si>
    <t>Design/Feasibility MF Rd &amp; Ind Blvd</t>
  </si>
  <si>
    <t>Communications Officer - New</t>
  </si>
  <si>
    <t xml:space="preserve">Sergeant - New </t>
  </si>
  <si>
    <t>Assistant Town Adminstrator - New</t>
  </si>
  <si>
    <t>Admin. Assistant - New</t>
  </si>
  <si>
    <t>30 hrs/wk</t>
  </si>
  <si>
    <t>Lab Manager - New</t>
  </si>
  <si>
    <t>F4</t>
  </si>
  <si>
    <t xml:space="preserve">Chief </t>
  </si>
  <si>
    <t xml:space="preserve">Lieutenant </t>
  </si>
  <si>
    <t>Staff Sgt</t>
  </si>
  <si>
    <t>Sgt</t>
  </si>
  <si>
    <t xml:space="preserve">Sgt </t>
  </si>
  <si>
    <t xml:space="preserve">Detective </t>
  </si>
  <si>
    <t xml:space="preserve">Detective  </t>
  </si>
  <si>
    <t xml:space="preserve">Patrolman </t>
  </si>
  <si>
    <t xml:space="preserve">K9 Patrolman </t>
  </si>
  <si>
    <t xml:space="preserve">Communications Officer F/T </t>
  </si>
  <si>
    <t>Communications Officer F/T</t>
  </si>
  <si>
    <t>New Hire</t>
  </si>
  <si>
    <t xml:space="preserve">Superintendent                        </t>
  </si>
  <si>
    <t xml:space="preserve">Office Manager                    </t>
  </si>
  <si>
    <t xml:space="preserve">Working Foreman                </t>
  </si>
  <si>
    <t xml:space="preserve">Shop Foreman                          </t>
  </si>
  <si>
    <t xml:space="preserve">Lead Mechanic                  </t>
  </si>
  <si>
    <t xml:space="preserve">Building Maintenenance           </t>
  </si>
  <si>
    <t xml:space="preserve">Custodian                                </t>
  </si>
  <si>
    <t xml:space="preserve">Grounds Maintenance             </t>
  </si>
  <si>
    <t xml:space="preserve">Grounds Maintenance               </t>
  </si>
  <si>
    <t xml:space="preserve">Grounds Maintenance              </t>
  </si>
  <si>
    <t xml:space="preserve">Landfill Assistant 14 hrs/wk      </t>
  </si>
  <si>
    <t xml:space="preserve">Heavy Equipment Oper                    </t>
  </si>
  <si>
    <t xml:space="preserve">Heavy Equipment Oper             </t>
  </si>
  <si>
    <t xml:space="preserve">Heavy Equipment Oper           </t>
  </si>
  <si>
    <t xml:space="preserve">Truck Driver/Laborer                 </t>
  </si>
  <si>
    <t xml:space="preserve">Truck Driver/Laborer               </t>
  </si>
  <si>
    <t xml:space="preserve">Truck Driver/Laborer                </t>
  </si>
  <si>
    <t xml:space="preserve">Truck Driver/Laborer             </t>
  </si>
  <si>
    <t>estimated a 5% increase</t>
  </si>
  <si>
    <t>Library Technician</t>
  </si>
  <si>
    <t>Library Assistant I</t>
  </si>
  <si>
    <t xml:space="preserve">Childrens' Asst </t>
  </si>
  <si>
    <t xml:space="preserve">Superintendent                            </t>
  </si>
  <si>
    <t xml:space="preserve">Admin Asst                                </t>
  </si>
  <si>
    <t xml:space="preserve">Lead Operator                            </t>
  </si>
  <si>
    <t xml:space="preserve">Lead Mechanic                          </t>
  </si>
  <si>
    <t xml:space="preserve">Wastewater Tech                       </t>
  </si>
  <si>
    <t xml:space="preserve">Wastewater Tech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</si>
</sst>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_);_(@_)"/>
    <numFmt numFmtId="165" formatCode="[$$-409]#,##0;[Red]\-[$$-409]#,##0"/>
    <numFmt numFmtId="166" formatCode="_(* #,##0.00_);_(* \(#,##0.00\);_(* &quot;-&quot;_);_(@_)"/>
    <numFmt numFmtId="167" formatCode="_(* #,##0_);_(* \(#,##0\);_(* &quot;-&quot;??_);_(@_)"/>
    <numFmt numFmtId="168" formatCode="0.0%"/>
    <numFmt numFmtId="169" formatCode="#,##0;[Red]#,##0"/>
    <numFmt numFmtId="170" formatCode="_(* #,##0.000000_);_(* \(#,##0.000000\);_(* &quot;-&quot;??_);_(@_)"/>
    <numFmt numFmtId="171" formatCode="0.0000%"/>
    <numFmt numFmtId="172" formatCode="_(* #,##0.0000_);_(* \(#,##0.0000\);_(* &quot;-&quot;??_);_(@_)"/>
    <numFmt numFmtId="173" formatCode="0.000%"/>
  </numFmts>
  <fonts count="71" x14ac:knownFonts="1">
    <font>
      <sz val="10"/>
      <name val="Times New Roman"/>
    </font>
    <font>
      <sz val="11"/>
      <color theme="1"/>
      <name val="Arial"/>
      <family val="2"/>
      <scheme val="minor"/>
    </font>
    <font>
      <sz val="10"/>
      <name val="Times New Roman"/>
      <family val="1"/>
    </font>
    <font>
      <sz val="10"/>
      <name val="Arial"/>
      <family val="2"/>
    </font>
    <font>
      <b/>
      <sz val="10"/>
      <name val="Arial"/>
      <family val="2"/>
    </font>
    <font>
      <sz val="11"/>
      <name val="Arial"/>
      <family val="2"/>
    </font>
    <font>
      <b/>
      <sz val="11"/>
      <name val="Arial"/>
      <family val="2"/>
    </font>
    <font>
      <b/>
      <u/>
      <sz val="10"/>
      <name val="Times New Roman"/>
      <family val="1"/>
    </font>
    <font>
      <b/>
      <sz val="10"/>
      <name val="Times New Roman"/>
      <family val="1"/>
    </font>
    <font>
      <sz val="10"/>
      <name val="Times New Roman"/>
      <family val="1"/>
    </font>
    <font>
      <sz val="10"/>
      <name val="Times New Roman"/>
      <family val="1"/>
    </font>
    <font>
      <b/>
      <sz val="10"/>
      <color indexed="8"/>
      <name val="Arial"/>
      <family val="2"/>
    </font>
    <font>
      <sz val="10"/>
      <color indexed="8"/>
      <name val="Arial"/>
      <family val="2"/>
    </font>
    <font>
      <u/>
      <sz val="10"/>
      <name val="Times New Roman"/>
      <family val="1"/>
    </font>
    <font>
      <b/>
      <sz val="12"/>
      <name val="Arial"/>
      <family val="2"/>
    </font>
    <font>
      <sz val="14"/>
      <name val="Times New Roman"/>
      <family val="1"/>
    </font>
    <font>
      <sz val="8"/>
      <name val="Times New Roman"/>
      <family val="1"/>
    </font>
    <font>
      <sz val="10"/>
      <name val="Times New Roman"/>
      <family val="1"/>
    </font>
    <font>
      <b/>
      <sz val="11"/>
      <name val="Times New Roman"/>
      <family val="1"/>
    </font>
    <font>
      <b/>
      <sz val="11"/>
      <color indexed="10"/>
      <name val="Times New Roman"/>
      <family val="1"/>
    </font>
    <font>
      <sz val="11"/>
      <name val="Times New Roman"/>
      <family val="1"/>
    </font>
    <font>
      <u/>
      <sz val="11"/>
      <name val="Times New Roman"/>
      <family val="1"/>
    </font>
    <font>
      <b/>
      <sz val="10"/>
      <name val="Microsoft Sans Serif"/>
      <family val="2"/>
    </font>
    <font>
      <b/>
      <sz val="12"/>
      <name val="Times New Roman"/>
      <family val="1"/>
    </font>
    <font>
      <sz val="10"/>
      <name val="Times New Roman"/>
      <family val="1"/>
    </font>
    <font>
      <sz val="16"/>
      <name val="Arial"/>
      <family val="2"/>
    </font>
    <font>
      <u val="singleAccounting"/>
      <sz val="10"/>
      <name val="Times New Roman"/>
      <family val="1"/>
    </font>
    <font>
      <sz val="12"/>
      <name val="Times New Roman"/>
      <family val="1"/>
    </font>
    <font>
      <sz val="10"/>
      <name val="Times New Roman"/>
      <family val="1"/>
    </font>
    <font>
      <sz val="12"/>
      <name val="Arial"/>
      <family val="2"/>
    </font>
    <font>
      <u/>
      <sz val="10"/>
      <name val="Arial"/>
      <family val="2"/>
    </font>
    <font>
      <sz val="11"/>
      <name val="Calibri"/>
      <family val="2"/>
    </font>
    <font>
      <sz val="11"/>
      <color theme="1"/>
      <name val="Arial"/>
      <family val="2"/>
      <scheme val="minor"/>
    </font>
    <font>
      <u/>
      <sz val="10"/>
      <color theme="10"/>
      <name val="Times New Roman"/>
      <family val="1"/>
    </font>
    <font>
      <u/>
      <sz val="11"/>
      <color theme="1"/>
      <name val="Arial"/>
      <family val="2"/>
      <scheme val="minor"/>
    </font>
    <font>
      <sz val="10"/>
      <color theme="1"/>
      <name val="Times New Roman"/>
      <family val="1"/>
    </font>
    <font>
      <sz val="11"/>
      <color rgb="FF1F497D"/>
      <name val="Calibri"/>
      <family val="2"/>
    </font>
    <font>
      <u/>
      <sz val="11"/>
      <color rgb="FF000000"/>
      <name val="Calibri"/>
      <family val="2"/>
    </font>
    <font>
      <b/>
      <sz val="10"/>
      <name val="Times New Roman"/>
      <family val="1"/>
      <charset val="1"/>
    </font>
    <font>
      <sz val="10"/>
      <name val="Arial"/>
      <family val="2"/>
      <charset val="1"/>
    </font>
    <font>
      <b/>
      <sz val="10"/>
      <name val="Arial"/>
      <family val="2"/>
      <charset val="1"/>
    </font>
    <font>
      <sz val="9"/>
      <name val="Arial"/>
      <family val="2"/>
    </font>
    <font>
      <b/>
      <sz val="12"/>
      <color theme="1"/>
      <name val="Arial"/>
      <family val="2"/>
    </font>
    <font>
      <b/>
      <u/>
      <sz val="12"/>
      <name val="Arial"/>
      <family val="2"/>
    </font>
    <font>
      <u/>
      <sz val="11"/>
      <name val="Arial"/>
      <family val="2"/>
    </font>
    <font>
      <strike/>
      <sz val="10"/>
      <name val="Arial"/>
      <family val="2"/>
    </font>
    <font>
      <sz val="10"/>
      <name val="Arial"/>
      <family val="2"/>
      <scheme val="minor"/>
    </font>
    <font>
      <sz val="10"/>
      <name val="Arial"/>
      <family val="2"/>
      <scheme val="major"/>
    </font>
    <font>
      <b/>
      <sz val="10"/>
      <name val="Arial"/>
      <family val="2"/>
      <scheme val="major"/>
    </font>
    <font>
      <u/>
      <sz val="12"/>
      <color theme="10"/>
      <name val="Arial"/>
      <family val="2"/>
      <scheme val="minor"/>
    </font>
    <font>
      <sz val="12"/>
      <name val="Arial"/>
      <family val="2"/>
      <scheme val="minor"/>
    </font>
    <font>
      <b/>
      <sz val="12"/>
      <name val="Arial"/>
      <family val="2"/>
      <scheme val="minor"/>
    </font>
    <font>
      <sz val="12"/>
      <color rgb="FFFF0000"/>
      <name val="Arial"/>
      <family val="2"/>
      <scheme val="minor"/>
    </font>
    <font>
      <strike/>
      <sz val="12"/>
      <name val="Arial"/>
      <family val="2"/>
      <scheme val="minor"/>
    </font>
    <font>
      <b/>
      <sz val="12"/>
      <color theme="1"/>
      <name val="Arial"/>
      <family val="2"/>
      <scheme val="minor"/>
    </font>
    <font>
      <sz val="12"/>
      <name val="Arial"/>
      <family val="2"/>
      <scheme val="major"/>
    </font>
    <font>
      <b/>
      <u/>
      <sz val="12"/>
      <name val="Arial"/>
      <family val="2"/>
      <scheme val="major"/>
    </font>
    <font>
      <u/>
      <sz val="12"/>
      <color theme="10"/>
      <name val="Arial"/>
      <family val="2"/>
    </font>
    <font>
      <u val="singleAccounting"/>
      <sz val="12"/>
      <name val="Arial"/>
      <family val="2"/>
    </font>
    <font>
      <b/>
      <i/>
      <sz val="12"/>
      <name val="Times New Roman"/>
      <family val="1"/>
    </font>
    <font>
      <u/>
      <sz val="10"/>
      <color theme="10"/>
      <name val="Arial"/>
      <family val="2"/>
      <scheme val="minor"/>
    </font>
    <font>
      <sz val="14"/>
      <name val="Arial"/>
      <family val="2"/>
    </font>
    <font>
      <b/>
      <sz val="14"/>
      <name val="Arial"/>
      <family val="2"/>
    </font>
    <font>
      <b/>
      <strike/>
      <sz val="10"/>
      <name val="Arial"/>
      <family val="2"/>
    </font>
    <font>
      <sz val="12"/>
      <name val="Calibri"/>
      <family val="2"/>
    </font>
    <font>
      <b/>
      <u/>
      <sz val="10"/>
      <name val="Arial"/>
      <family val="2"/>
    </font>
    <font>
      <u val="singleAccounting"/>
      <sz val="12"/>
      <name val="Arial"/>
      <family val="2"/>
      <scheme val="minor"/>
    </font>
    <font>
      <u/>
      <sz val="10"/>
      <name val="Arial"/>
      <family val="2"/>
      <charset val="1"/>
    </font>
    <font>
      <b/>
      <sz val="14"/>
      <name val="Calibri"/>
      <family val="2"/>
    </font>
    <font>
      <sz val="14"/>
      <name val="Calibri"/>
      <family val="2"/>
    </font>
    <font>
      <sz val="12"/>
      <color rgb="FF000000"/>
      <name val="Arial"/>
      <family val="2"/>
      <scheme val="minor"/>
    </font>
  </fonts>
  <fills count="20">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theme="6"/>
        <bgColor indexed="64"/>
      </patternFill>
    </fill>
    <fill>
      <patternFill patternType="solid">
        <fgColor theme="4" tint="0.79998168889431442"/>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rgb="FF92D050"/>
        <bgColor indexed="64"/>
      </patternFill>
    </fill>
    <fill>
      <patternFill patternType="solid">
        <fgColor theme="6" tint="0.59999389629810485"/>
        <bgColor indexed="64"/>
      </patternFill>
    </fill>
    <fill>
      <patternFill patternType="solid">
        <fgColor theme="1"/>
        <bgColor indexed="64"/>
      </patternFill>
    </fill>
    <fill>
      <patternFill patternType="solid">
        <fgColor rgb="FFFF99FF"/>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DCE6F2"/>
        <bgColor rgb="FFD9D9D9"/>
      </patternFill>
    </fill>
    <fill>
      <patternFill patternType="solid">
        <fgColor theme="9" tint="0.59999389629810485"/>
        <bgColor indexed="64"/>
      </patternFill>
    </fill>
  </fills>
  <borders count="67">
    <border>
      <left/>
      <right/>
      <top/>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double">
        <color indexed="64"/>
      </left>
      <right/>
      <top/>
      <bottom/>
      <diagonal/>
    </border>
    <border>
      <left/>
      <right style="thin">
        <color indexed="64"/>
      </right>
      <top/>
      <bottom style="thin">
        <color indexed="64"/>
      </bottom>
      <diagonal/>
    </border>
    <border>
      <left style="thin">
        <color indexed="64"/>
      </left>
      <right style="thin">
        <color indexed="64"/>
      </right>
      <top style="double">
        <color indexed="64"/>
      </top>
      <bottom style="medium">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right style="thin">
        <color indexed="64"/>
      </right>
      <top style="double">
        <color indexed="64"/>
      </top>
      <bottom/>
      <diagonal/>
    </border>
    <border>
      <left/>
      <right style="thin">
        <color indexed="64"/>
      </right>
      <top/>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top style="double">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medium">
        <color indexed="64"/>
      </top>
      <bottom/>
      <diagonal/>
    </border>
    <border>
      <left/>
      <right/>
      <top style="double">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double">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right/>
      <top/>
      <bottom style="thin">
        <color rgb="FF000000"/>
      </bottom>
      <diagonal/>
    </border>
  </borders>
  <cellStyleXfs count="6">
    <xf numFmtId="165" fontId="0" fillId="0" borderId="0"/>
    <xf numFmtId="43" fontId="2" fillId="0" borderId="0" applyFont="0" applyFill="0" applyBorder="0" applyAlignment="0" applyProtection="0"/>
    <xf numFmtId="165" fontId="33" fillId="0" borderId="0" applyNumberFormat="0" applyFill="0" applyBorder="0" applyAlignment="0" applyProtection="0">
      <alignment vertical="top"/>
      <protection locked="0"/>
    </xf>
    <xf numFmtId="9" fontId="2" fillId="0" borderId="0" applyFont="0" applyFill="0" applyBorder="0" applyAlignment="0" applyProtection="0"/>
    <xf numFmtId="165" fontId="2" fillId="0" borderId="0"/>
    <xf numFmtId="43" fontId="2" fillId="0" borderId="0" applyFont="0" applyFill="0" applyBorder="0" applyAlignment="0" applyProtection="0"/>
  </cellStyleXfs>
  <cellXfs count="1162">
    <xf numFmtId="165" fontId="0" fillId="0" borderId="0" xfId="0"/>
    <xf numFmtId="43" fontId="0" fillId="0" borderId="0" xfId="1" applyFont="1"/>
    <xf numFmtId="41" fontId="0" fillId="0" borderId="0" xfId="0" applyNumberFormat="1"/>
    <xf numFmtId="41" fontId="0" fillId="0" borderId="0" xfId="0" applyNumberFormat="1" applyAlignment="1">
      <alignment horizontal="center"/>
    </xf>
    <xf numFmtId="165" fontId="3" fillId="0" borderId="0" xfId="0" applyFont="1"/>
    <xf numFmtId="165" fontId="4" fillId="0" borderId="1" xfId="0" applyFont="1" applyBorder="1"/>
    <xf numFmtId="165" fontId="4" fillId="0" borderId="2" xfId="0" applyFont="1" applyBorder="1"/>
    <xf numFmtId="165" fontId="4" fillId="0" borderId="3" xfId="0" applyFont="1" applyBorder="1" applyAlignment="1">
      <alignment horizontal="center"/>
    </xf>
    <xf numFmtId="165" fontId="4" fillId="0" borderId="4" xfId="0" applyFont="1" applyBorder="1"/>
    <xf numFmtId="165" fontId="4" fillId="0" borderId="5" xfId="0" applyFont="1" applyBorder="1" applyAlignment="1">
      <alignment horizontal="center"/>
    </xf>
    <xf numFmtId="165" fontId="4" fillId="0" borderId="8" xfId="0" applyFont="1" applyBorder="1" applyAlignment="1">
      <alignment horizontal="center"/>
    </xf>
    <xf numFmtId="165" fontId="3" fillId="0" borderId="9" xfId="0" applyFont="1" applyBorder="1"/>
    <xf numFmtId="165" fontId="3" fillId="0" borderId="10" xfId="0" applyFont="1" applyBorder="1"/>
    <xf numFmtId="43" fontId="3" fillId="0" borderId="11" xfId="1" applyFont="1" applyBorder="1"/>
    <xf numFmtId="41" fontId="3" fillId="0" borderId="11" xfId="0" applyNumberFormat="1" applyFont="1" applyBorder="1"/>
    <xf numFmtId="43" fontId="3" fillId="0" borderId="12" xfId="1" applyFont="1" applyBorder="1"/>
    <xf numFmtId="41" fontId="3" fillId="0" borderId="12" xfId="0" applyNumberFormat="1" applyFont="1" applyBorder="1"/>
    <xf numFmtId="165" fontId="4" fillId="0" borderId="10" xfId="0" applyFont="1" applyBorder="1"/>
    <xf numFmtId="43" fontId="3" fillId="0" borderId="8" xfId="1" applyFont="1" applyBorder="1"/>
    <xf numFmtId="41" fontId="3" fillId="0" borderId="8" xfId="0" applyNumberFormat="1" applyFont="1" applyBorder="1"/>
    <xf numFmtId="165" fontId="4" fillId="0" borderId="14" xfId="0" applyFont="1" applyBorder="1"/>
    <xf numFmtId="43" fontId="3" fillId="0" borderId="15" xfId="1" applyFont="1" applyBorder="1"/>
    <xf numFmtId="41" fontId="3" fillId="0" borderId="15" xfId="0" applyNumberFormat="1" applyFont="1" applyBorder="1"/>
    <xf numFmtId="43" fontId="3" fillId="0" borderId="0" xfId="1" applyFont="1"/>
    <xf numFmtId="43" fontId="3" fillId="0" borderId="0" xfId="1" applyFont="1" applyBorder="1"/>
    <xf numFmtId="41" fontId="3" fillId="0" borderId="0" xfId="0" applyNumberFormat="1" applyFont="1" applyBorder="1"/>
    <xf numFmtId="165" fontId="3" fillId="0" borderId="0" xfId="0" applyFont="1" applyBorder="1"/>
    <xf numFmtId="41" fontId="3" fillId="0" borderId="0" xfId="0" applyNumberFormat="1" applyFont="1"/>
    <xf numFmtId="165" fontId="3" fillId="0" borderId="6" xfId="0" applyFont="1" applyBorder="1"/>
    <xf numFmtId="165" fontId="3" fillId="0" borderId="7" xfId="0" applyFont="1" applyBorder="1"/>
    <xf numFmtId="43" fontId="3" fillId="0" borderId="16" xfId="1" applyFont="1" applyBorder="1"/>
    <xf numFmtId="41" fontId="3" fillId="0" borderId="16" xfId="0" applyNumberFormat="1" applyFont="1" applyBorder="1"/>
    <xf numFmtId="43" fontId="3" fillId="0" borderId="17" xfId="1" applyFont="1" applyBorder="1"/>
    <xf numFmtId="41" fontId="3" fillId="0" borderId="17" xfId="0" applyNumberFormat="1" applyFont="1" applyBorder="1"/>
    <xf numFmtId="41" fontId="3" fillId="0" borderId="10" xfId="0" applyNumberFormat="1" applyFont="1" applyBorder="1"/>
    <xf numFmtId="41" fontId="4" fillId="0" borderId="8" xfId="0" applyNumberFormat="1" applyFont="1" applyBorder="1" applyAlignment="1">
      <alignment horizontal="center"/>
    </xf>
    <xf numFmtId="41" fontId="3" fillId="0" borderId="8" xfId="1" applyNumberFormat="1" applyFont="1" applyBorder="1"/>
    <xf numFmtId="43" fontId="3" fillId="0" borderId="18" xfId="1" applyFont="1" applyBorder="1"/>
    <xf numFmtId="41" fontId="3" fillId="0" borderId="18" xfId="0" applyNumberFormat="1" applyFont="1" applyBorder="1"/>
    <xf numFmtId="43" fontId="3" fillId="0" borderId="19" xfId="1" applyFont="1" applyBorder="1"/>
    <xf numFmtId="41" fontId="3" fillId="0" borderId="19" xfId="0" applyNumberFormat="1" applyFont="1" applyBorder="1"/>
    <xf numFmtId="41" fontId="3" fillId="0" borderId="15" xfId="1" applyNumberFormat="1" applyFont="1" applyBorder="1"/>
    <xf numFmtId="41" fontId="3" fillId="0" borderId="11" xfId="1" applyNumberFormat="1" applyFont="1" applyBorder="1"/>
    <xf numFmtId="41" fontId="3" fillId="0" borderId="12" xfId="1" applyNumberFormat="1" applyFont="1" applyBorder="1"/>
    <xf numFmtId="41" fontId="3" fillId="0" borderId="10" xfId="1" applyNumberFormat="1" applyFont="1" applyBorder="1"/>
    <xf numFmtId="165" fontId="5" fillId="0" borderId="0" xfId="0" applyFont="1"/>
    <xf numFmtId="165" fontId="6" fillId="0" borderId="0" xfId="0" applyFont="1"/>
    <xf numFmtId="165" fontId="4" fillId="0" borderId="16" xfId="0" applyFont="1" applyBorder="1" applyAlignment="1">
      <alignment horizontal="center"/>
    </xf>
    <xf numFmtId="165" fontId="3" fillId="0" borderId="22" xfId="0" applyFont="1" applyBorder="1" applyAlignment="1">
      <alignment horizontal="center"/>
    </xf>
    <xf numFmtId="41" fontId="3" fillId="0" borderId="23" xfId="0" applyNumberFormat="1" applyFont="1" applyBorder="1" applyAlignment="1">
      <alignment horizontal="center"/>
    </xf>
    <xf numFmtId="165" fontId="3" fillId="0" borderId="24" xfId="0" applyFont="1" applyBorder="1"/>
    <xf numFmtId="165" fontId="4" fillId="0" borderId="24" xfId="0" applyFont="1" applyBorder="1"/>
    <xf numFmtId="165" fontId="4" fillId="0" borderId="25" xfId="0" applyFont="1" applyBorder="1"/>
    <xf numFmtId="41" fontId="0" fillId="0" borderId="26" xfId="0" applyNumberFormat="1" applyBorder="1"/>
    <xf numFmtId="41" fontId="0" fillId="0" borderId="0" xfId="0" applyNumberFormat="1" applyBorder="1"/>
    <xf numFmtId="41" fontId="0" fillId="0" borderId="27" xfId="0" applyNumberFormat="1" applyBorder="1"/>
    <xf numFmtId="41" fontId="0" fillId="0" borderId="28" xfId="0" applyNumberFormat="1" applyBorder="1"/>
    <xf numFmtId="14" fontId="3" fillId="0" borderId="0" xfId="0" applyNumberFormat="1" applyFont="1"/>
    <xf numFmtId="165" fontId="0" fillId="0" borderId="28" xfId="0" applyBorder="1"/>
    <xf numFmtId="43" fontId="3" fillId="0" borderId="0" xfId="1" quotePrefix="1" applyFont="1"/>
    <xf numFmtId="41" fontId="3" fillId="0" borderId="11" xfId="0" quotePrefix="1" applyNumberFormat="1" applyFont="1" applyBorder="1"/>
    <xf numFmtId="43" fontId="6" fillId="0" borderId="0" xfId="1" applyFont="1"/>
    <xf numFmtId="43" fontId="4" fillId="0" borderId="8" xfId="1" applyFont="1" applyBorder="1" applyAlignment="1">
      <alignment horizontal="center"/>
    </xf>
    <xf numFmtId="165" fontId="3" fillId="0" borderId="11" xfId="0" applyFont="1" applyBorder="1"/>
    <xf numFmtId="165" fontId="4" fillId="0" borderId="11" xfId="0" applyFont="1" applyBorder="1"/>
    <xf numFmtId="165" fontId="4" fillId="0" borderId="7" xfId="0" applyFont="1" applyBorder="1"/>
    <xf numFmtId="16" fontId="3" fillId="0" borderId="0" xfId="0" applyNumberFormat="1" applyFont="1"/>
    <xf numFmtId="41" fontId="10" fillId="0" borderId="0" xfId="0" applyNumberFormat="1" applyFont="1"/>
    <xf numFmtId="43" fontId="0" fillId="0" borderId="0" xfId="0" applyNumberFormat="1"/>
    <xf numFmtId="41" fontId="0" fillId="0" borderId="0" xfId="1" applyNumberFormat="1" applyFont="1"/>
    <xf numFmtId="165" fontId="0" fillId="0" borderId="18" xfId="0" applyBorder="1"/>
    <xf numFmtId="165" fontId="0" fillId="0" borderId="8" xfId="0" applyBorder="1"/>
    <xf numFmtId="165" fontId="0" fillId="0" borderId="7" xfId="0" applyBorder="1"/>
    <xf numFmtId="165" fontId="0" fillId="0" borderId="11" xfId="0" applyBorder="1"/>
    <xf numFmtId="14" fontId="0" fillId="0" borderId="11" xfId="0" applyNumberFormat="1" applyBorder="1"/>
    <xf numFmtId="43" fontId="0" fillId="0" borderId="11" xfId="1" applyFont="1" applyBorder="1"/>
    <xf numFmtId="165" fontId="11" fillId="0" borderId="8" xfId="0" applyFont="1" applyBorder="1" applyAlignment="1">
      <alignment horizontal="center"/>
    </xf>
    <xf numFmtId="41" fontId="3" fillId="0" borderId="0" xfId="1" applyNumberFormat="1" applyFont="1"/>
    <xf numFmtId="165" fontId="4" fillId="0" borderId="0" xfId="0" applyFont="1"/>
    <xf numFmtId="43" fontId="4" fillId="0" borderId="0" xfId="1" applyFont="1"/>
    <xf numFmtId="165" fontId="9" fillId="0" borderId="0" xfId="0" applyFont="1"/>
    <xf numFmtId="165" fontId="4" fillId="0" borderId="30" xfId="0" applyFont="1" applyBorder="1" applyAlignment="1">
      <alignment horizontal="center"/>
    </xf>
    <xf numFmtId="165" fontId="4" fillId="0" borderId="30" xfId="0" applyFont="1" applyBorder="1"/>
    <xf numFmtId="165" fontId="4" fillId="0" borderId="0" xfId="0" applyFont="1" applyBorder="1"/>
    <xf numFmtId="165" fontId="4" fillId="0" borderId="31" xfId="0" applyFont="1" applyBorder="1" applyAlignment="1">
      <alignment horizontal="center"/>
    </xf>
    <xf numFmtId="41" fontId="4" fillId="0" borderId="31" xfId="0" applyNumberFormat="1" applyFont="1" applyBorder="1" applyAlignment="1">
      <alignment horizontal="center"/>
    </xf>
    <xf numFmtId="165" fontId="4" fillId="0" borderId="32" xfId="0" applyFont="1" applyBorder="1"/>
    <xf numFmtId="43" fontId="4" fillId="0" borderId="16" xfId="1" applyFont="1" applyBorder="1" applyAlignment="1">
      <alignment horizontal="center"/>
    </xf>
    <xf numFmtId="165" fontId="4" fillId="0" borderId="20" xfId="0" applyFont="1" applyBorder="1" applyAlignment="1">
      <alignment horizontal="center"/>
    </xf>
    <xf numFmtId="165" fontId="4" fillId="0" borderId="0" xfId="0" applyFont="1" applyBorder="1" applyAlignment="1">
      <alignment horizontal="center"/>
    </xf>
    <xf numFmtId="41" fontId="4" fillId="0" borderId="16" xfId="0" applyNumberFormat="1" applyFont="1" applyBorder="1" applyAlignment="1">
      <alignment horizontal="center"/>
    </xf>
    <xf numFmtId="41" fontId="4" fillId="0" borderId="20" xfId="0" applyNumberFormat="1" applyFont="1" applyBorder="1" applyAlignment="1">
      <alignment horizontal="center"/>
    </xf>
    <xf numFmtId="41" fontId="3" fillId="0" borderId="33" xfId="0" applyNumberFormat="1" applyFont="1" applyBorder="1"/>
    <xf numFmtId="165" fontId="4" fillId="0" borderId="33" xfId="0" applyFont="1" applyBorder="1" applyAlignment="1">
      <alignment horizontal="center"/>
    </xf>
    <xf numFmtId="165" fontId="0" fillId="0" borderId="0" xfId="0" applyBorder="1"/>
    <xf numFmtId="165" fontId="3" fillId="0" borderId="0" xfId="0" applyFont="1" applyFill="1"/>
    <xf numFmtId="41" fontId="3" fillId="0" borderId="0" xfId="0" applyNumberFormat="1" applyFont="1" applyFill="1"/>
    <xf numFmtId="41" fontId="3" fillId="0" borderId="18" xfId="1" applyNumberFormat="1" applyFont="1" applyBorder="1"/>
    <xf numFmtId="165" fontId="3" fillId="0" borderId="12" xfId="0" applyFont="1" applyBorder="1"/>
    <xf numFmtId="165" fontId="3" fillId="0" borderId="34" xfId="0" applyFont="1" applyBorder="1"/>
    <xf numFmtId="43" fontId="3" fillId="0" borderId="23" xfId="1" applyFont="1" applyBorder="1" applyAlignment="1">
      <alignment horizontal="center"/>
    </xf>
    <xf numFmtId="43" fontId="3" fillId="0" borderId="11" xfId="1" quotePrefix="1" applyFont="1" applyBorder="1"/>
    <xf numFmtId="43" fontId="3" fillId="0" borderId="10" xfId="1" applyFont="1" applyBorder="1"/>
    <xf numFmtId="43" fontId="3" fillId="0" borderId="7" xfId="1" applyFont="1" applyBorder="1"/>
    <xf numFmtId="43" fontId="11" fillId="0" borderId="8" xfId="1" applyFont="1" applyBorder="1" applyAlignment="1">
      <alignment horizontal="center"/>
    </xf>
    <xf numFmtId="43" fontId="3" fillId="0" borderId="0" xfId="1" applyFont="1" applyFill="1"/>
    <xf numFmtId="165" fontId="3" fillId="0" borderId="35" xfId="0" applyFont="1" applyBorder="1"/>
    <xf numFmtId="165" fontId="0" fillId="0" borderId="3" xfId="0" applyBorder="1"/>
    <xf numFmtId="165" fontId="3" fillId="0" borderId="36" xfId="0" applyFont="1" applyBorder="1"/>
    <xf numFmtId="165" fontId="3" fillId="0" borderId="5" xfId="0" applyFont="1" applyBorder="1"/>
    <xf numFmtId="165" fontId="3" fillId="0" borderId="8" xfId="0" applyFont="1" applyBorder="1"/>
    <xf numFmtId="43" fontId="4" fillId="0" borderId="0" xfId="1" applyFont="1" applyBorder="1" applyAlignment="1">
      <alignment horizontal="center"/>
    </xf>
    <xf numFmtId="43" fontId="4" fillId="0" borderId="37" xfId="1" applyFont="1" applyBorder="1" applyAlignment="1">
      <alignment horizontal="center"/>
    </xf>
    <xf numFmtId="43" fontId="4" fillId="0" borderId="38" xfId="1" applyFont="1" applyBorder="1" applyAlignment="1">
      <alignment horizontal="center"/>
    </xf>
    <xf numFmtId="43" fontId="9" fillId="0" borderId="0" xfId="1" applyFont="1"/>
    <xf numFmtId="165" fontId="3" fillId="0" borderId="16" xfId="0" applyFont="1" applyBorder="1" applyAlignment="1">
      <alignment horizontal="center"/>
    </xf>
    <xf numFmtId="165" fontId="4" fillId="0" borderId="40" xfId="0" applyFont="1" applyBorder="1"/>
    <xf numFmtId="43" fontId="3" fillId="0" borderId="41" xfId="1" applyFont="1" applyBorder="1"/>
    <xf numFmtId="43" fontId="3" fillId="0" borderId="40" xfId="1" applyFont="1" applyBorder="1"/>
    <xf numFmtId="43" fontId="3" fillId="0" borderId="42" xfId="1" applyFont="1" applyBorder="1"/>
    <xf numFmtId="165" fontId="0" fillId="0" borderId="0" xfId="0" applyFill="1"/>
    <xf numFmtId="165" fontId="9" fillId="0" borderId="0" xfId="0" applyFont="1" applyFill="1"/>
    <xf numFmtId="41" fontId="3" fillId="0" borderId="11" xfId="0" applyNumberFormat="1" applyFont="1" applyFill="1" applyBorder="1"/>
    <xf numFmtId="41" fontId="3" fillId="0" borderId="12" xfId="0" applyNumberFormat="1" applyFont="1" applyFill="1" applyBorder="1"/>
    <xf numFmtId="41" fontId="3" fillId="0" borderId="8" xfId="0" applyNumberFormat="1" applyFont="1" applyFill="1" applyBorder="1"/>
    <xf numFmtId="41" fontId="3" fillId="0" borderId="18" xfId="0" applyNumberFormat="1" applyFont="1" applyFill="1" applyBorder="1"/>
    <xf numFmtId="43" fontId="3" fillId="0" borderId="8" xfId="1" applyFont="1" applyFill="1" applyBorder="1"/>
    <xf numFmtId="43" fontId="4" fillId="0" borderId="20" xfId="1" applyFont="1" applyBorder="1" applyAlignment="1">
      <alignment horizontal="center"/>
    </xf>
    <xf numFmtId="43" fontId="4" fillId="0" borderId="31" xfId="1" applyFont="1" applyBorder="1" applyAlignment="1">
      <alignment horizontal="center"/>
    </xf>
    <xf numFmtId="43" fontId="4" fillId="0" borderId="33" xfId="1" applyFont="1" applyBorder="1" applyAlignment="1">
      <alignment horizontal="center"/>
    </xf>
    <xf numFmtId="43" fontId="3" fillId="0" borderId="24" xfId="1" applyFont="1" applyBorder="1"/>
    <xf numFmtId="43" fontId="3" fillId="0" borderId="43" xfId="1" applyFont="1" applyBorder="1"/>
    <xf numFmtId="43" fontId="3" fillId="0" borderId="33" xfId="1" applyFont="1" applyBorder="1"/>
    <xf numFmtId="43" fontId="3" fillId="0" borderId="16" xfId="1" applyFont="1" applyBorder="1" applyAlignment="1">
      <alignment horizontal="center"/>
    </xf>
    <xf numFmtId="43" fontId="0" fillId="0" borderId="0" xfId="1" applyFont="1" applyBorder="1"/>
    <xf numFmtId="14" fontId="4" fillId="0" borderId="5" xfId="1" applyNumberFormat="1" applyFont="1" applyBorder="1" applyAlignment="1">
      <alignment horizontal="center"/>
    </xf>
    <xf numFmtId="14" fontId="4" fillId="0" borderId="30" xfId="1" applyNumberFormat="1" applyFont="1" applyBorder="1" applyAlignment="1">
      <alignment horizontal="center"/>
    </xf>
    <xf numFmtId="41" fontId="3" fillId="2" borderId="8" xfId="0" applyNumberFormat="1" applyFont="1" applyFill="1" applyBorder="1"/>
    <xf numFmtId="165" fontId="0" fillId="0" borderId="0" xfId="0" applyFill="1" applyBorder="1"/>
    <xf numFmtId="10" fontId="0" fillId="0" borderId="0" xfId="0" applyNumberFormat="1"/>
    <xf numFmtId="165" fontId="0" fillId="0" borderId="0" xfId="0" applyAlignment="1">
      <alignment horizontal="center"/>
    </xf>
    <xf numFmtId="43" fontId="5" fillId="0" borderId="0" xfId="1" applyFont="1"/>
    <xf numFmtId="41" fontId="3" fillId="0" borderId="16" xfId="0" applyNumberFormat="1" applyFont="1" applyFill="1" applyBorder="1"/>
    <xf numFmtId="43" fontId="4" fillId="0" borderId="11" xfId="1" applyFont="1" applyBorder="1"/>
    <xf numFmtId="43" fontId="3" fillId="0" borderId="11" xfId="1" applyFont="1" applyFill="1" applyBorder="1"/>
    <xf numFmtId="43" fontId="3" fillId="0" borderId="28" xfId="1" applyFont="1" applyBorder="1"/>
    <xf numFmtId="41" fontId="12" fillId="0" borderId="19" xfId="0" applyNumberFormat="1" applyFont="1" applyBorder="1"/>
    <xf numFmtId="41" fontId="3" fillId="0" borderId="19" xfId="0" applyNumberFormat="1" applyFont="1" applyFill="1" applyBorder="1"/>
    <xf numFmtId="165" fontId="3" fillId="0" borderId="0" xfId="0" applyFont="1" applyFill="1" applyBorder="1"/>
    <xf numFmtId="165" fontId="3" fillId="0" borderId="35" xfId="0" applyFont="1" applyBorder="1" applyAlignment="1">
      <alignment horizontal="center"/>
    </xf>
    <xf numFmtId="14" fontId="3" fillId="0" borderId="36" xfId="0" applyNumberFormat="1" applyFont="1" applyBorder="1" applyAlignment="1">
      <alignment horizontal="center"/>
    </xf>
    <xf numFmtId="14" fontId="3" fillId="0" borderId="8" xfId="0" applyNumberFormat="1" applyFont="1" applyBorder="1"/>
    <xf numFmtId="14" fontId="3" fillId="0" borderId="11" xfId="0" applyNumberFormat="1" applyFont="1" applyBorder="1"/>
    <xf numFmtId="43" fontId="3" fillId="0" borderId="11" xfId="1" applyFont="1" applyBorder="1" applyAlignment="1">
      <alignment horizontal="left"/>
    </xf>
    <xf numFmtId="43" fontId="3" fillId="0" borderId="11" xfId="1" applyFont="1" applyBorder="1" applyAlignment="1">
      <alignment horizontal="right"/>
    </xf>
    <xf numFmtId="43" fontId="3" fillId="0" borderId="8" xfId="0" applyNumberFormat="1" applyFont="1" applyBorder="1"/>
    <xf numFmtId="43" fontId="3" fillId="0" borderId="31" xfId="1" applyFont="1" applyBorder="1" applyAlignment="1">
      <alignment horizontal="center"/>
    </xf>
    <xf numFmtId="165" fontId="3" fillId="0" borderId="31" xfId="0" applyFont="1" applyBorder="1" applyAlignment="1">
      <alignment horizontal="center"/>
    </xf>
    <xf numFmtId="165" fontId="3" fillId="0" borderId="37" xfId="0" applyFont="1" applyBorder="1" applyAlignment="1">
      <alignment horizontal="center"/>
    </xf>
    <xf numFmtId="43" fontId="3" fillId="0" borderId="5" xfId="1" applyFont="1" applyBorder="1" applyAlignment="1">
      <alignment horizontal="center"/>
    </xf>
    <xf numFmtId="165" fontId="3" fillId="0" borderId="5" xfId="0" applyFont="1" applyBorder="1" applyAlignment="1">
      <alignment horizontal="center"/>
    </xf>
    <xf numFmtId="165" fontId="3" fillId="0" borderId="44" xfId="0" applyFont="1" applyBorder="1" applyAlignment="1">
      <alignment horizontal="center"/>
    </xf>
    <xf numFmtId="165" fontId="3" fillId="0" borderId="33" xfId="0" applyFont="1" applyBorder="1" applyAlignment="1">
      <alignment horizontal="center"/>
    </xf>
    <xf numFmtId="165" fontId="3" fillId="0" borderId="18" xfId="0" applyFont="1" applyBorder="1" applyAlignment="1">
      <alignment horizontal="center"/>
    </xf>
    <xf numFmtId="165" fontId="3" fillId="0" borderId="8" xfId="0" applyFont="1" applyBorder="1" applyAlignment="1">
      <alignment horizontal="center"/>
    </xf>
    <xf numFmtId="165" fontId="3" fillId="0" borderId="3" xfId="0" applyFont="1" applyBorder="1"/>
    <xf numFmtId="43" fontId="3" fillId="0" borderId="11" xfId="0" applyNumberFormat="1" applyFont="1" applyBorder="1"/>
    <xf numFmtId="43" fontId="3" fillId="0" borderId="0" xfId="0" applyNumberFormat="1" applyFont="1"/>
    <xf numFmtId="165" fontId="3" fillId="0" borderId="3" xfId="0" applyFont="1" applyBorder="1" applyAlignment="1">
      <alignment horizontal="center"/>
    </xf>
    <xf numFmtId="41" fontId="4" fillId="0" borderId="8" xfId="0" applyNumberFormat="1" applyFont="1" applyBorder="1"/>
    <xf numFmtId="41" fontId="4" fillId="0" borderId="11" xfId="0" applyNumberFormat="1" applyFont="1" applyBorder="1"/>
    <xf numFmtId="14" fontId="0" fillId="0" borderId="0" xfId="0" applyNumberFormat="1"/>
    <xf numFmtId="43" fontId="3" fillId="0" borderId="45" xfId="1" applyFont="1" applyBorder="1"/>
    <xf numFmtId="165" fontId="0" fillId="0" borderId="20" xfId="0" applyBorder="1"/>
    <xf numFmtId="41" fontId="4" fillId="0" borderId="12" xfId="0" applyNumberFormat="1" applyFont="1" applyBorder="1"/>
    <xf numFmtId="41" fontId="0" fillId="0" borderId="0" xfId="0" applyNumberFormat="1" applyBorder="1" applyAlignment="1">
      <alignment horizontal="center"/>
    </xf>
    <xf numFmtId="41" fontId="8" fillId="0" borderId="0" xfId="0" applyNumberFormat="1" applyFont="1" applyBorder="1"/>
    <xf numFmtId="165" fontId="4" fillId="0" borderId="23" xfId="0" applyFont="1" applyBorder="1" applyAlignment="1">
      <alignment horizontal="center"/>
    </xf>
    <xf numFmtId="43" fontId="8" fillId="0" borderId="11" xfId="1" applyFont="1" applyBorder="1"/>
    <xf numFmtId="165" fontId="0" fillId="0" borderId="26" xfId="0" applyBorder="1"/>
    <xf numFmtId="41" fontId="0" fillId="0" borderId="20" xfId="0" applyNumberFormat="1" applyBorder="1"/>
    <xf numFmtId="16" fontId="0" fillId="0" borderId="0" xfId="0" applyNumberFormat="1"/>
    <xf numFmtId="165" fontId="0" fillId="0" borderId="20" xfId="0" applyFill="1" applyBorder="1"/>
    <xf numFmtId="165" fontId="0" fillId="0" borderId="7" xfId="0" applyFill="1" applyBorder="1"/>
    <xf numFmtId="41" fontId="0" fillId="0" borderId="40" xfId="0" applyNumberFormat="1" applyBorder="1"/>
    <xf numFmtId="41" fontId="3" fillId="0" borderId="16" xfId="1" applyNumberFormat="1" applyFont="1" applyBorder="1"/>
    <xf numFmtId="41" fontId="3" fillId="0" borderId="19" xfId="1" applyNumberFormat="1" applyFont="1" applyBorder="1"/>
    <xf numFmtId="41" fontId="3" fillId="0" borderId="17" xfId="1" applyNumberFormat="1" applyFont="1" applyBorder="1"/>
    <xf numFmtId="10" fontId="0" fillId="0" borderId="0" xfId="0" applyNumberFormat="1" applyBorder="1"/>
    <xf numFmtId="9" fontId="0" fillId="0" borderId="0" xfId="0" applyNumberFormat="1"/>
    <xf numFmtId="3" fontId="0" fillId="0" borderId="0" xfId="0" applyNumberFormat="1"/>
    <xf numFmtId="165" fontId="0" fillId="0" borderId="44" xfId="0" applyBorder="1"/>
    <xf numFmtId="165" fontId="0" fillId="0" borderId="46" xfId="0" applyBorder="1"/>
    <xf numFmtId="165" fontId="0" fillId="0" borderId="47" xfId="0" applyBorder="1"/>
    <xf numFmtId="165" fontId="0" fillId="0" borderId="48" xfId="0" applyBorder="1"/>
    <xf numFmtId="165" fontId="0" fillId="0" borderId="49" xfId="0" applyBorder="1"/>
    <xf numFmtId="9" fontId="0" fillId="0" borderId="50" xfId="0" applyNumberFormat="1" applyBorder="1"/>
    <xf numFmtId="41" fontId="0" fillId="0" borderId="50" xfId="0" applyNumberFormat="1" applyBorder="1"/>
    <xf numFmtId="165" fontId="0" fillId="0" borderId="50" xfId="0" applyBorder="1"/>
    <xf numFmtId="165" fontId="0" fillId="0" borderId="51" xfId="0" applyBorder="1"/>
    <xf numFmtId="165" fontId="0" fillId="0" borderId="52" xfId="0" applyBorder="1"/>
    <xf numFmtId="165" fontId="0" fillId="0" borderId="53" xfId="0" applyBorder="1"/>
    <xf numFmtId="41" fontId="3" fillId="0" borderId="0" xfId="0" applyNumberFormat="1" applyFont="1" applyFill="1" applyBorder="1"/>
    <xf numFmtId="14" fontId="4" fillId="0" borderId="16" xfId="0" applyNumberFormat="1" applyFont="1" applyBorder="1" applyAlignment="1">
      <alignment horizontal="center"/>
    </xf>
    <xf numFmtId="41" fontId="0" fillId="0" borderId="8" xfId="0" applyNumberFormat="1" applyBorder="1"/>
    <xf numFmtId="41" fontId="3" fillId="0" borderId="23" xfId="0" applyNumberFormat="1" applyFont="1" applyBorder="1"/>
    <xf numFmtId="41" fontId="4" fillId="0" borderId="0" xfId="0" applyNumberFormat="1" applyFont="1"/>
    <xf numFmtId="165" fontId="4" fillId="0" borderId="8" xfId="0" applyFont="1" applyBorder="1"/>
    <xf numFmtId="41" fontId="14" fillId="0" borderId="0" xfId="0" applyNumberFormat="1" applyFont="1"/>
    <xf numFmtId="165" fontId="4" fillId="0" borderId="38" xfId="0" applyFont="1" applyBorder="1"/>
    <xf numFmtId="165" fontId="3" fillId="0" borderId="23" xfId="0" applyFont="1" applyBorder="1"/>
    <xf numFmtId="165" fontId="3" fillId="0" borderId="23" xfId="0" applyFont="1" applyBorder="1" applyAlignment="1">
      <alignment horizontal="center"/>
    </xf>
    <xf numFmtId="165" fontId="3" fillId="0" borderId="0" xfId="0" applyFont="1" applyFill="1" applyBorder="1" applyAlignment="1">
      <alignment horizontal="center"/>
    </xf>
    <xf numFmtId="43" fontId="3" fillId="0" borderId="0" xfId="0" applyNumberFormat="1" applyFont="1" applyFill="1"/>
    <xf numFmtId="41" fontId="3" fillId="0" borderId="0" xfId="1" applyNumberFormat="1" applyFont="1" applyBorder="1"/>
    <xf numFmtId="49" fontId="0" fillId="0" borderId="0" xfId="0" applyNumberFormat="1"/>
    <xf numFmtId="165" fontId="4" fillId="0" borderId="0" xfId="0" applyFont="1" applyFill="1" applyBorder="1" applyAlignment="1">
      <alignment horizontal="center"/>
    </xf>
    <xf numFmtId="43" fontId="9" fillId="0" borderId="0" xfId="1" applyFont="1" applyBorder="1"/>
    <xf numFmtId="41" fontId="4" fillId="0" borderId="0" xfId="1" applyNumberFormat="1" applyFont="1"/>
    <xf numFmtId="43" fontId="12" fillId="0" borderId="8" xfId="1" applyFont="1" applyBorder="1" applyAlignment="1">
      <alignment horizontal="center"/>
    </xf>
    <xf numFmtId="165" fontId="12" fillId="0" borderId="8" xfId="0" applyFont="1" applyBorder="1" applyAlignment="1">
      <alignment horizontal="center"/>
    </xf>
    <xf numFmtId="43" fontId="3" fillId="0" borderId="0" xfId="0" applyNumberFormat="1" applyFont="1" applyBorder="1"/>
    <xf numFmtId="49" fontId="3" fillId="0" borderId="0" xfId="0" applyNumberFormat="1" applyFont="1" applyFill="1" applyBorder="1" applyAlignment="1">
      <alignment horizontal="left"/>
    </xf>
    <xf numFmtId="43" fontId="3" fillId="0" borderId="0" xfId="1" applyFont="1" applyBorder="1" applyAlignment="1">
      <alignment horizontal="center"/>
    </xf>
    <xf numFmtId="43" fontId="2" fillId="0" borderId="0" xfId="1" applyFont="1"/>
    <xf numFmtId="165" fontId="9" fillId="0" borderId="0" xfId="0" applyFont="1" applyBorder="1"/>
    <xf numFmtId="43" fontId="17" fillId="0" borderId="0" xfId="0" applyNumberFormat="1" applyFont="1" applyBorder="1"/>
    <xf numFmtId="41" fontId="3" fillId="0" borderId="8" xfId="0" applyNumberFormat="1" applyFont="1" applyBorder="1" applyAlignment="1">
      <alignment horizontal="center"/>
    </xf>
    <xf numFmtId="43" fontId="3" fillId="0" borderId="23" xfId="0" applyNumberFormat="1" applyFont="1" applyBorder="1"/>
    <xf numFmtId="43" fontId="0" fillId="0" borderId="0" xfId="1" applyFont="1" applyFill="1" applyBorder="1"/>
    <xf numFmtId="43" fontId="18" fillId="0" borderId="0" xfId="1" applyFont="1"/>
    <xf numFmtId="41" fontId="0" fillId="0" borderId="0" xfId="0" applyNumberFormat="1" applyFill="1" applyBorder="1"/>
    <xf numFmtId="43" fontId="19" fillId="0" borderId="0" xfId="1" applyFont="1" applyAlignment="1">
      <alignment horizontal="center"/>
    </xf>
    <xf numFmtId="43" fontId="3" fillId="0" borderId="18" xfId="1" applyFont="1" applyFill="1" applyBorder="1"/>
    <xf numFmtId="165" fontId="3" fillId="0" borderId="16" xfId="0" applyFont="1" applyFill="1" applyBorder="1" applyAlignment="1">
      <alignment horizontal="center"/>
    </xf>
    <xf numFmtId="165" fontId="0" fillId="0" borderId="0" xfId="0" applyNumberFormat="1"/>
    <xf numFmtId="165" fontId="3" fillId="0" borderId="11" xfId="0" applyFont="1" applyFill="1" applyBorder="1"/>
    <xf numFmtId="165" fontId="3" fillId="0" borderId="10" xfId="0" applyFont="1" applyFill="1" applyBorder="1"/>
    <xf numFmtId="165" fontId="4" fillId="0" borderId="10" xfId="0" applyFont="1" applyFill="1" applyBorder="1"/>
    <xf numFmtId="41" fontId="3" fillId="0" borderId="7" xfId="0" applyNumberFormat="1" applyFont="1" applyBorder="1"/>
    <xf numFmtId="165" fontId="2" fillId="0" borderId="0" xfId="0" applyFont="1"/>
    <xf numFmtId="41" fontId="0" fillId="0" borderId="0" xfId="0" applyNumberFormat="1" applyFill="1"/>
    <xf numFmtId="165" fontId="20" fillId="0" borderId="0" xfId="0" applyFont="1"/>
    <xf numFmtId="165" fontId="20" fillId="0" borderId="0" xfId="0" applyFont="1" applyAlignment="1">
      <alignment horizontal="center"/>
    </xf>
    <xf numFmtId="165" fontId="21" fillId="0" borderId="0" xfId="0" applyFont="1"/>
    <xf numFmtId="165" fontId="21" fillId="0" borderId="0" xfId="0" applyFont="1" applyAlignment="1">
      <alignment horizontal="center"/>
    </xf>
    <xf numFmtId="165" fontId="18" fillId="0" borderId="0" xfId="0" applyFont="1"/>
    <xf numFmtId="165" fontId="4" fillId="0" borderId="16" xfId="0" applyFont="1" applyFill="1" applyBorder="1" applyAlignment="1">
      <alignment horizontal="center"/>
    </xf>
    <xf numFmtId="41" fontId="3" fillId="0" borderId="11" xfId="1" applyNumberFormat="1" applyFont="1" applyFill="1" applyBorder="1"/>
    <xf numFmtId="41" fontId="3" fillId="0" borderId="8" xfId="1" applyNumberFormat="1" applyFont="1" applyFill="1" applyBorder="1"/>
    <xf numFmtId="43" fontId="3" fillId="0" borderId="44" xfId="1" applyFont="1" applyBorder="1"/>
    <xf numFmtId="165" fontId="3" fillId="0" borderId="0" xfId="0" applyNumberFormat="1" applyFont="1"/>
    <xf numFmtId="41" fontId="3" fillId="0" borderId="10" xfId="0" applyNumberFormat="1" applyFont="1" applyFill="1" applyBorder="1"/>
    <xf numFmtId="41" fontId="3" fillId="0" borderId="40" xfId="0" applyNumberFormat="1" applyFont="1" applyFill="1" applyBorder="1"/>
    <xf numFmtId="165" fontId="3" fillId="0" borderId="0" xfId="0" applyFont="1" applyBorder="1" applyAlignment="1">
      <alignment horizontal="center"/>
    </xf>
    <xf numFmtId="165" fontId="9" fillId="0" borderId="0" xfId="0" quotePrefix="1" applyFont="1"/>
    <xf numFmtId="165" fontId="3" fillId="0" borderId="7" xfId="0" applyFont="1" applyFill="1" applyBorder="1"/>
    <xf numFmtId="165" fontId="9" fillId="0" borderId="20" xfId="0" applyFont="1" applyBorder="1"/>
    <xf numFmtId="43" fontId="4" fillId="0" borderId="3" xfId="1" applyFont="1" applyBorder="1" applyAlignment="1">
      <alignment horizontal="center"/>
    </xf>
    <xf numFmtId="165" fontId="0" fillId="0" borderId="38" xfId="0" applyFill="1" applyBorder="1"/>
    <xf numFmtId="165" fontId="34" fillId="0" borderId="0" xfId="0" applyFont="1" applyFill="1" applyBorder="1" applyAlignment="1">
      <alignment horizontal="center"/>
    </xf>
    <xf numFmtId="165" fontId="34" fillId="0" borderId="38" xfId="0" applyFont="1" applyFill="1" applyBorder="1" applyAlignment="1">
      <alignment horizontal="center"/>
    </xf>
    <xf numFmtId="165" fontId="22" fillId="0" borderId="20" xfId="0" applyFont="1" applyFill="1" applyBorder="1"/>
    <xf numFmtId="43" fontId="32" fillId="0" borderId="0" xfId="1" applyFont="1" applyFill="1" applyBorder="1"/>
    <xf numFmtId="43" fontId="32" fillId="0" borderId="38" xfId="1" applyFont="1" applyFill="1" applyBorder="1"/>
    <xf numFmtId="43" fontId="32" fillId="0" borderId="28" xfId="1" applyFont="1" applyFill="1" applyBorder="1"/>
    <xf numFmtId="43" fontId="32" fillId="0" borderId="33" xfId="1" applyFont="1" applyFill="1" applyBorder="1"/>
    <xf numFmtId="165" fontId="9" fillId="0" borderId="40" xfId="0" applyFont="1" applyBorder="1"/>
    <xf numFmtId="165" fontId="0" fillId="0" borderId="0" xfId="0" applyFill="1" applyBorder="1" applyAlignment="1">
      <alignment horizontal="center"/>
    </xf>
    <xf numFmtId="10" fontId="0" fillId="0" borderId="0" xfId="0" applyNumberFormat="1" applyFill="1" applyBorder="1"/>
    <xf numFmtId="165" fontId="22" fillId="0" borderId="40" xfId="0" applyFont="1" applyFill="1" applyBorder="1"/>
    <xf numFmtId="165" fontId="0" fillId="0" borderId="26" xfId="0" applyFill="1" applyBorder="1"/>
    <xf numFmtId="165" fontId="0" fillId="0" borderId="44" xfId="0" applyFill="1" applyBorder="1"/>
    <xf numFmtId="165" fontId="9" fillId="0" borderId="0" xfId="0" applyFont="1" applyFill="1" applyAlignment="1">
      <alignment horizontal="center"/>
    </xf>
    <xf numFmtId="165" fontId="9" fillId="0" borderId="0" xfId="0" applyFont="1" applyAlignment="1">
      <alignment horizontal="center"/>
    </xf>
    <xf numFmtId="165" fontId="9" fillId="0" borderId="0" xfId="0" applyFont="1" applyAlignment="1">
      <alignment horizontal="left"/>
    </xf>
    <xf numFmtId="43" fontId="0" fillId="0" borderId="54" xfId="1" applyFont="1" applyBorder="1"/>
    <xf numFmtId="41" fontId="0" fillId="0" borderId="54" xfId="0" applyNumberFormat="1" applyBorder="1"/>
    <xf numFmtId="165" fontId="9" fillId="3" borderId="0" xfId="0" applyFont="1" applyFill="1" applyAlignment="1">
      <alignment horizontal="center"/>
    </xf>
    <xf numFmtId="165" fontId="0" fillId="3" borderId="0" xfId="0" applyFill="1"/>
    <xf numFmtId="165" fontId="9" fillId="3" borderId="54" xfId="0" applyFont="1" applyFill="1" applyBorder="1"/>
    <xf numFmtId="43" fontId="35" fillId="3" borderId="54" xfId="1" applyFont="1" applyFill="1" applyBorder="1"/>
    <xf numFmtId="41" fontId="4" fillId="0" borderId="8" xfId="1" applyNumberFormat="1" applyFont="1" applyBorder="1"/>
    <xf numFmtId="43" fontId="0" fillId="0" borderId="11" xfId="1" applyFont="1" applyFill="1" applyBorder="1"/>
    <xf numFmtId="41" fontId="3" fillId="0" borderId="44" xfId="0" applyNumberFormat="1" applyFont="1" applyFill="1" applyBorder="1"/>
    <xf numFmtId="41" fontId="4" fillId="0" borderId="42" xfId="0" applyNumberFormat="1" applyFont="1" applyFill="1" applyBorder="1"/>
    <xf numFmtId="41" fontId="9" fillId="0" borderId="0" xfId="0" applyNumberFormat="1" applyFont="1" applyAlignment="1">
      <alignment horizontal="center"/>
    </xf>
    <xf numFmtId="165" fontId="7" fillId="0" borderId="0" xfId="0" applyFont="1" applyBorder="1"/>
    <xf numFmtId="165" fontId="15" fillId="0" borderId="0" xfId="0" applyFont="1"/>
    <xf numFmtId="165" fontId="4" fillId="0" borderId="37" xfId="0" applyFont="1" applyBorder="1" applyAlignment="1">
      <alignment horizontal="center"/>
    </xf>
    <xf numFmtId="165" fontId="4" fillId="0" borderId="38" xfId="0" applyFont="1" applyBorder="1" applyAlignment="1">
      <alignment horizontal="center"/>
    </xf>
    <xf numFmtId="41" fontId="4" fillId="0" borderId="37" xfId="0" applyNumberFormat="1" applyFont="1" applyBorder="1" applyAlignment="1">
      <alignment horizontal="center"/>
    </xf>
    <xf numFmtId="41" fontId="4" fillId="0" borderId="38" xfId="0" applyNumberFormat="1" applyFont="1" applyBorder="1" applyAlignment="1">
      <alignment horizontal="center"/>
    </xf>
    <xf numFmtId="41" fontId="3" fillId="5" borderId="11" xfId="0" applyNumberFormat="1" applyFont="1" applyFill="1" applyBorder="1"/>
    <xf numFmtId="43" fontId="3" fillId="0" borderId="0" xfId="0" applyNumberFormat="1" applyFont="1" applyFill="1" applyBorder="1"/>
    <xf numFmtId="165" fontId="3" fillId="5" borderId="10" xfId="0" applyFont="1" applyFill="1" applyBorder="1"/>
    <xf numFmtId="41" fontId="3" fillId="0" borderId="17" xfId="0" applyNumberFormat="1" applyFont="1" applyFill="1" applyBorder="1"/>
    <xf numFmtId="165" fontId="3" fillId="0" borderId="8" xfId="0" applyFont="1" applyFill="1" applyBorder="1"/>
    <xf numFmtId="165" fontId="3" fillId="0" borderId="21" xfId="0" applyFont="1" applyBorder="1" applyAlignment="1">
      <alignment horizontal="center"/>
    </xf>
    <xf numFmtId="41" fontId="4" fillId="0" borderId="0" xfId="0" applyNumberFormat="1" applyFont="1" applyBorder="1"/>
    <xf numFmtId="41" fontId="4" fillId="0" borderId="7" xfId="0" applyNumberFormat="1" applyFont="1" applyBorder="1"/>
    <xf numFmtId="41" fontId="4" fillId="0" borderId="8" xfId="1" applyNumberFormat="1" applyFont="1" applyFill="1" applyBorder="1"/>
    <xf numFmtId="9" fontId="4" fillId="0" borderId="11" xfId="3" applyFont="1" applyFill="1" applyBorder="1"/>
    <xf numFmtId="165" fontId="3" fillId="5" borderId="11" xfId="0" applyFont="1" applyFill="1" applyBorder="1"/>
    <xf numFmtId="41" fontId="4" fillId="5" borderId="8" xfId="1" applyNumberFormat="1" applyFont="1" applyFill="1" applyBorder="1"/>
    <xf numFmtId="165" fontId="0" fillId="5" borderId="0" xfId="0" applyFill="1"/>
    <xf numFmtId="165" fontId="3" fillId="5" borderId="16" xfId="0" applyFont="1" applyFill="1" applyBorder="1"/>
    <xf numFmtId="43" fontId="4" fillId="0" borderId="5" xfId="1" applyFont="1" applyBorder="1" applyAlignment="1">
      <alignment horizontal="center"/>
    </xf>
    <xf numFmtId="43" fontId="4" fillId="0" borderId="30" xfId="1" applyFont="1" applyBorder="1" applyAlignment="1">
      <alignment horizontal="center"/>
    </xf>
    <xf numFmtId="43" fontId="3" fillId="0" borderId="33" xfId="1" applyFont="1" applyBorder="1" applyAlignment="1">
      <alignment horizontal="center"/>
    </xf>
    <xf numFmtId="43" fontId="4" fillId="0" borderId="12" xfId="1" applyFont="1" applyBorder="1"/>
    <xf numFmtId="43" fontId="4" fillId="0" borderId="8" xfId="1" applyFont="1" applyBorder="1"/>
    <xf numFmtId="43" fontId="3" fillId="0" borderId="10" xfId="1" applyFont="1" applyFill="1" applyBorder="1"/>
    <xf numFmtId="43" fontId="3" fillId="0" borderId="40" xfId="1" applyFont="1" applyFill="1" applyBorder="1"/>
    <xf numFmtId="43" fontId="4" fillId="0" borderId="42" xfId="1" applyFont="1" applyBorder="1"/>
    <xf numFmtId="43" fontId="3" fillId="0" borderId="8" xfId="1" applyFont="1" applyBorder="1" applyAlignment="1">
      <alignment horizontal="center"/>
    </xf>
    <xf numFmtId="43" fontId="3" fillId="0" borderId="35" xfId="1" applyFont="1" applyBorder="1" applyAlignment="1">
      <alignment horizontal="center"/>
    </xf>
    <xf numFmtId="43" fontId="17" fillId="0" borderId="0" xfId="1" applyFont="1" applyBorder="1"/>
    <xf numFmtId="43" fontId="3" fillId="0" borderId="12" xfId="1" applyFont="1" applyFill="1" applyBorder="1"/>
    <xf numFmtId="43" fontId="3" fillId="0" borderId="19" xfId="1" applyFont="1" applyFill="1" applyBorder="1"/>
    <xf numFmtId="43" fontId="3" fillId="0" borderId="16" xfId="1" applyFont="1" applyFill="1" applyBorder="1"/>
    <xf numFmtId="43" fontId="3" fillId="0" borderId="15" xfId="1" applyFont="1" applyFill="1" applyBorder="1"/>
    <xf numFmtId="43" fontId="3" fillId="0" borderId="17" xfId="1" applyFont="1" applyFill="1" applyBorder="1"/>
    <xf numFmtId="43" fontId="3" fillId="0" borderId="22" xfId="1" applyFont="1" applyBorder="1" applyAlignment="1">
      <alignment horizontal="center"/>
    </xf>
    <xf numFmtId="43" fontId="3" fillId="4" borderId="0" xfId="1" applyFont="1" applyFill="1"/>
    <xf numFmtId="43" fontId="3" fillId="0" borderId="0" xfId="1" applyFont="1" applyFill="1" applyBorder="1"/>
    <xf numFmtId="43" fontId="3" fillId="0" borderId="8" xfId="0" applyNumberFormat="1" applyFont="1" applyFill="1" applyBorder="1"/>
    <xf numFmtId="165" fontId="8" fillId="0" borderId="0" xfId="0" applyFont="1" applyFill="1"/>
    <xf numFmtId="165" fontId="0" fillId="0" borderId="38" xfId="0" applyBorder="1"/>
    <xf numFmtId="165" fontId="0" fillId="0" borderId="33" xfId="0" applyBorder="1"/>
    <xf numFmtId="14" fontId="0" fillId="0" borderId="0" xfId="0" applyNumberFormat="1" applyAlignment="1">
      <alignment horizontal="center"/>
    </xf>
    <xf numFmtId="41" fontId="3" fillId="0" borderId="24" xfId="0" applyNumberFormat="1" applyFont="1" applyFill="1" applyBorder="1"/>
    <xf numFmtId="41" fontId="3" fillId="0" borderId="33" xfId="0" applyNumberFormat="1" applyFont="1" applyFill="1" applyBorder="1"/>
    <xf numFmtId="41" fontId="3" fillId="0" borderId="43" xfId="0" applyNumberFormat="1" applyFont="1" applyFill="1" applyBorder="1"/>
    <xf numFmtId="165" fontId="2" fillId="0" borderId="0" xfId="0" applyFont="1" applyFill="1"/>
    <xf numFmtId="43" fontId="0" fillId="0" borderId="0" xfId="1" applyFont="1" applyFill="1"/>
    <xf numFmtId="165" fontId="4" fillId="0" borderId="31" xfId="0" applyFont="1" applyFill="1" applyBorder="1" applyAlignment="1">
      <alignment horizontal="center"/>
    </xf>
    <xf numFmtId="165" fontId="4" fillId="0" borderId="20" xfId="0" applyFont="1" applyFill="1" applyBorder="1" applyAlignment="1">
      <alignment horizontal="center"/>
    </xf>
    <xf numFmtId="165" fontId="4" fillId="0" borderId="5" xfId="0" applyFont="1" applyFill="1" applyBorder="1" applyAlignment="1">
      <alignment horizontal="center"/>
    </xf>
    <xf numFmtId="41" fontId="3" fillId="0" borderId="15" xfId="1" applyNumberFormat="1" applyFont="1" applyFill="1" applyBorder="1"/>
    <xf numFmtId="165" fontId="2" fillId="0" borderId="20" xfId="0" applyFont="1" applyBorder="1"/>
    <xf numFmtId="165" fontId="2" fillId="0" borderId="38" xfId="0" applyFont="1" applyBorder="1"/>
    <xf numFmtId="165" fontId="2" fillId="0" borderId="0" xfId="0" applyFont="1" applyFill="1" applyBorder="1"/>
    <xf numFmtId="14" fontId="3" fillId="0" borderId="36" xfId="1" applyNumberFormat="1" applyFont="1" applyBorder="1" applyAlignment="1">
      <alignment horizontal="center"/>
    </xf>
    <xf numFmtId="165" fontId="2" fillId="0" borderId="0" xfId="0" applyFont="1" applyAlignment="1">
      <alignment horizontal="center"/>
    </xf>
    <xf numFmtId="41" fontId="2" fillId="0" borderId="0" xfId="0" applyNumberFormat="1" applyFont="1" applyAlignment="1">
      <alignment horizontal="center"/>
    </xf>
    <xf numFmtId="41" fontId="2" fillId="0" borderId="0" xfId="0" applyNumberFormat="1" applyFont="1"/>
    <xf numFmtId="165" fontId="2" fillId="0" borderId="40" xfId="0" applyFont="1" applyBorder="1"/>
    <xf numFmtId="165" fontId="2" fillId="0" borderId="0" xfId="0" applyFont="1" applyBorder="1"/>
    <xf numFmtId="165" fontId="15" fillId="0" borderId="0" xfId="0" applyFont="1" applyAlignment="1">
      <alignment horizontal="center"/>
    </xf>
    <xf numFmtId="41" fontId="4" fillId="0" borderId="3" xfId="0" applyNumberFormat="1" applyFont="1" applyBorder="1" applyAlignment="1">
      <alignment horizontal="center"/>
    </xf>
    <xf numFmtId="43" fontId="3" fillId="0" borderId="2" xfId="1" applyFont="1" applyBorder="1" applyAlignment="1">
      <alignment horizontal="center"/>
    </xf>
    <xf numFmtId="14" fontId="3" fillId="0" borderId="30" xfId="1" applyNumberFormat="1" applyFont="1" applyBorder="1" applyAlignment="1">
      <alignment horizontal="center"/>
    </xf>
    <xf numFmtId="43" fontId="3" fillId="0" borderId="30" xfId="1" applyFont="1" applyBorder="1" applyAlignment="1">
      <alignment horizontal="center"/>
    </xf>
    <xf numFmtId="165" fontId="2" fillId="0" borderId="47" xfId="0" applyFont="1" applyBorder="1"/>
    <xf numFmtId="165" fontId="2" fillId="0" borderId="18" xfId="0" applyFont="1" applyBorder="1"/>
    <xf numFmtId="165" fontId="2" fillId="0" borderId="0" xfId="0" applyFont="1" applyAlignment="1">
      <alignment horizontal="left"/>
    </xf>
    <xf numFmtId="41" fontId="0" fillId="0" borderId="54" xfId="1" applyNumberFormat="1" applyFont="1" applyBorder="1"/>
    <xf numFmtId="165" fontId="2" fillId="0" borderId="0" xfId="0" applyFont="1" applyFill="1" applyAlignment="1"/>
    <xf numFmtId="165" fontId="0" fillId="0" borderId="0" xfId="0" applyAlignment="1"/>
    <xf numFmtId="49" fontId="2" fillId="0" borderId="0" xfId="0" applyNumberFormat="1" applyFont="1"/>
    <xf numFmtId="41" fontId="4" fillId="0" borderId="0" xfId="0" applyNumberFormat="1" applyFont="1" applyFill="1"/>
    <xf numFmtId="41" fontId="4" fillId="0" borderId="0" xfId="1" applyNumberFormat="1" applyFont="1" applyFill="1"/>
    <xf numFmtId="43" fontId="3" fillId="0" borderId="12" xfId="1" quotePrefix="1" applyFont="1" applyBorder="1"/>
    <xf numFmtId="41" fontId="3" fillId="0" borderId="12" xfId="0" quotePrefix="1" applyNumberFormat="1" applyFont="1" applyBorder="1"/>
    <xf numFmtId="43" fontId="28" fillId="0" borderId="0" xfId="1" applyFont="1" applyFill="1" applyBorder="1"/>
    <xf numFmtId="41" fontId="26" fillId="0" borderId="0" xfId="0" applyNumberFormat="1" applyFont="1"/>
    <xf numFmtId="43" fontId="9" fillId="0" borderId="0" xfId="1" applyFont="1" applyFill="1" applyBorder="1"/>
    <xf numFmtId="165" fontId="2" fillId="4" borderId="0" xfId="0" applyFont="1" applyFill="1"/>
    <xf numFmtId="10" fontId="0" fillId="0" borderId="0" xfId="3" applyNumberFormat="1" applyFont="1"/>
    <xf numFmtId="41" fontId="2" fillId="0" borderId="0" xfId="0" applyNumberFormat="1" applyFont="1" applyFill="1" applyBorder="1"/>
    <xf numFmtId="165" fontId="33" fillId="0" borderId="0" xfId="2" applyAlignment="1" applyProtection="1"/>
    <xf numFmtId="43" fontId="29" fillId="0" borderId="0" xfId="1" applyFont="1" applyFill="1" applyBorder="1"/>
    <xf numFmtId="41" fontId="29" fillId="0" borderId="0" xfId="0" applyNumberFormat="1" applyFont="1" applyFill="1" applyBorder="1"/>
    <xf numFmtId="43" fontId="9" fillId="0" borderId="0" xfId="1" applyFont="1" applyFill="1"/>
    <xf numFmtId="41" fontId="4" fillId="0" borderId="11" xfId="1" applyNumberFormat="1" applyFont="1" applyFill="1" applyBorder="1"/>
    <xf numFmtId="165" fontId="27" fillId="0" borderId="0" xfId="0" applyFont="1"/>
    <xf numFmtId="43" fontId="27" fillId="0" borderId="0" xfId="1" applyFont="1"/>
    <xf numFmtId="41" fontId="27" fillId="0" borderId="0" xfId="0" applyNumberFormat="1" applyFont="1"/>
    <xf numFmtId="165" fontId="8" fillId="0" borderId="0" xfId="0" applyFont="1" applyBorder="1"/>
    <xf numFmtId="14" fontId="9" fillId="0" borderId="11" xfId="0" applyNumberFormat="1" applyFont="1" applyBorder="1"/>
    <xf numFmtId="14" fontId="9" fillId="5" borderId="11" xfId="0" applyNumberFormat="1" applyFont="1" applyFill="1" applyBorder="1"/>
    <xf numFmtId="41" fontId="3" fillId="6" borderId="12" xfId="0" applyNumberFormat="1" applyFont="1" applyFill="1" applyBorder="1"/>
    <xf numFmtId="41" fontId="3" fillId="6" borderId="11" xfId="0" applyNumberFormat="1" applyFont="1" applyFill="1" applyBorder="1"/>
    <xf numFmtId="41" fontId="3" fillId="6" borderId="8" xfId="0" applyNumberFormat="1" applyFont="1" applyFill="1" applyBorder="1"/>
    <xf numFmtId="14" fontId="9" fillId="5" borderId="8" xfId="0" applyNumberFormat="1" applyFont="1" applyFill="1" applyBorder="1"/>
    <xf numFmtId="4" fontId="3" fillId="0" borderId="0" xfId="0" applyNumberFormat="1" applyFont="1"/>
    <xf numFmtId="41" fontId="3" fillId="0" borderId="0" xfId="1" quotePrefix="1" applyNumberFormat="1" applyFont="1"/>
    <xf numFmtId="43" fontId="4" fillId="0" borderId="0" xfId="1" applyFont="1" applyFill="1"/>
    <xf numFmtId="165" fontId="4" fillId="0" borderId="0" xfId="0" applyFont="1" applyFill="1"/>
    <xf numFmtId="43" fontId="4" fillId="0" borderId="3" xfId="1" applyFont="1" applyFill="1" applyBorder="1" applyAlignment="1">
      <alignment horizontal="center"/>
    </xf>
    <xf numFmtId="165" fontId="4" fillId="0" borderId="37" xfId="0" applyFont="1" applyFill="1" applyBorder="1" applyAlignment="1">
      <alignment horizontal="center"/>
    </xf>
    <xf numFmtId="43" fontId="4" fillId="0" borderId="37" xfId="1" applyFont="1" applyFill="1" applyBorder="1" applyAlignment="1">
      <alignment horizontal="center"/>
    </xf>
    <xf numFmtId="165" fontId="4" fillId="0" borderId="3" xfId="0" applyFont="1" applyFill="1" applyBorder="1" applyAlignment="1">
      <alignment horizontal="center"/>
    </xf>
    <xf numFmtId="43" fontId="4" fillId="0" borderId="16" xfId="1" applyFont="1" applyFill="1" applyBorder="1" applyAlignment="1">
      <alignment horizontal="center"/>
    </xf>
    <xf numFmtId="43" fontId="4" fillId="0" borderId="38" xfId="1" applyFont="1" applyFill="1" applyBorder="1" applyAlignment="1">
      <alignment horizontal="center"/>
    </xf>
    <xf numFmtId="165" fontId="4" fillId="0" borderId="38" xfId="0" applyFont="1" applyFill="1" applyBorder="1" applyAlignment="1">
      <alignment horizontal="center"/>
    </xf>
    <xf numFmtId="14" fontId="4" fillId="0" borderId="16" xfId="0" applyNumberFormat="1" applyFont="1" applyFill="1" applyBorder="1" applyAlignment="1">
      <alignment horizontal="center"/>
    </xf>
    <xf numFmtId="43" fontId="4" fillId="0" borderId="5" xfId="1" applyFont="1" applyFill="1" applyBorder="1" applyAlignment="1">
      <alignment horizontal="center"/>
    </xf>
    <xf numFmtId="165" fontId="4" fillId="0" borderId="30" xfId="0" applyFont="1" applyFill="1" applyBorder="1" applyAlignment="1">
      <alignment horizontal="center"/>
    </xf>
    <xf numFmtId="14" fontId="4" fillId="0" borderId="30" xfId="1" applyNumberFormat="1" applyFont="1" applyFill="1" applyBorder="1" applyAlignment="1">
      <alignment horizontal="center"/>
    </xf>
    <xf numFmtId="43" fontId="3" fillId="0" borderId="33" xfId="1" applyFont="1" applyFill="1" applyBorder="1" applyAlignment="1">
      <alignment horizontal="center"/>
    </xf>
    <xf numFmtId="165" fontId="3" fillId="0" borderId="33" xfId="0" applyFont="1" applyFill="1" applyBorder="1" applyAlignment="1">
      <alignment horizontal="center"/>
    </xf>
    <xf numFmtId="43" fontId="4" fillId="0" borderId="33" xfId="1" applyFont="1" applyFill="1" applyBorder="1" applyAlignment="1">
      <alignment horizontal="center"/>
    </xf>
    <xf numFmtId="165" fontId="4" fillId="0" borderId="33" xfId="0" applyFont="1" applyFill="1" applyBorder="1" applyAlignment="1">
      <alignment horizontal="center"/>
    </xf>
    <xf numFmtId="43" fontId="3" fillId="0" borderId="24" xfId="1" applyFont="1" applyFill="1" applyBorder="1"/>
    <xf numFmtId="43" fontId="3" fillId="0" borderId="33" xfId="1" applyFont="1" applyFill="1" applyBorder="1"/>
    <xf numFmtId="43" fontId="3" fillId="0" borderId="43" xfId="1" applyFont="1" applyFill="1" applyBorder="1"/>
    <xf numFmtId="43" fontId="3" fillId="0" borderId="25" xfId="1" applyFont="1" applyFill="1" applyBorder="1"/>
    <xf numFmtId="41" fontId="3" fillId="0" borderId="25" xfId="0" applyNumberFormat="1" applyFont="1" applyFill="1" applyBorder="1"/>
    <xf numFmtId="43" fontId="3" fillId="0" borderId="8" xfId="1" applyFont="1" applyFill="1" applyBorder="1" applyAlignment="1">
      <alignment horizontal="center"/>
    </xf>
    <xf numFmtId="165" fontId="0" fillId="4" borderId="0" xfId="0" applyFill="1"/>
    <xf numFmtId="41" fontId="3" fillId="4" borderId="18" xfId="0" applyNumberFormat="1" applyFont="1" applyFill="1" applyBorder="1"/>
    <xf numFmtId="41" fontId="10" fillId="0" borderId="12" xfId="1" applyNumberFormat="1" applyFont="1" applyBorder="1"/>
    <xf numFmtId="165" fontId="15" fillId="0" borderId="0" xfId="0" applyFont="1" applyAlignment="1">
      <alignment horizontal="center"/>
    </xf>
    <xf numFmtId="165" fontId="23" fillId="0" borderId="0" xfId="0" applyFont="1" applyFill="1" applyBorder="1" applyAlignment="1">
      <alignment horizontal="center"/>
    </xf>
    <xf numFmtId="43" fontId="8" fillId="0" borderId="11" xfId="1" applyFont="1" applyFill="1" applyBorder="1"/>
    <xf numFmtId="165" fontId="2" fillId="0" borderId="11" xfId="0" applyFont="1" applyBorder="1"/>
    <xf numFmtId="165" fontId="3" fillId="0" borderId="41" xfId="0" applyFont="1" applyFill="1" applyBorder="1"/>
    <xf numFmtId="165" fontId="3" fillId="0" borderId="0" xfId="1" applyNumberFormat="1" applyFont="1"/>
    <xf numFmtId="165" fontId="39" fillId="0" borderId="0" xfId="0" applyFont="1"/>
    <xf numFmtId="165" fontId="2" fillId="0" borderId="0" xfId="0" quotePrefix="1" applyFont="1"/>
    <xf numFmtId="41" fontId="3" fillId="0" borderId="11" xfId="0" quotePrefix="1" applyNumberFormat="1" applyFont="1" applyFill="1" applyBorder="1"/>
    <xf numFmtId="41" fontId="3" fillId="0" borderId="12" xfId="0" quotePrefix="1" applyNumberFormat="1" applyFont="1" applyFill="1" applyBorder="1"/>
    <xf numFmtId="43" fontId="4" fillId="0" borderId="11" xfId="1" quotePrefix="1" applyFont="1" applyBorder="1"/>
    <xf numFmtId="43" fontId="2" fillId="0" borderId="0" xfId="1" applyFont="1" applyFill="1"/>
    <xf numFmtId="43" fontId="3" fillId="0" borderId="11" xfId="1" applyFont="1" applyFill="1" applyBorder="1" applyAlignment="1">
      <alignment horizontal="left"/>
    </xf>
    <xf numFmtId="165" fontId="15" fillId="0" borderId="0" xfId="0" applyFont="1" applyAlignment="1">
      <alignment horizontal="center"/>
    </xf>
    <xf numFmtId="43" fontId="9" fillId="0" borderId="11" xfId="1" applyFont="1" applyFill="1" applyBorder="1"/>
    <xf numFmtId="165" fontId="38" fillId="0" borderId="20" xfId="0" applyFont="1" applyBorder="1"/>
    <xf numFmtId="164" fontId="38" fillId="0" borderId="0" xfId="0" applyNumberFormat="1" applyFont="1" applyBorder="1"/>
    <xf numFmtId="164" fontId="0" fillId="0" borderId="0" xfId="0" applyNumberFormat="1" applyBorder="1"/>
    <xf numFmtId="165" fontId="0" fillId="0" borderId="20" xfId="0" applyNumberFormat="1" applyBorder="1"/>
    <xf numFmtId="165" fontId="27" fillId="4" borderId="0" xfId="0" applyFont="1" applyFill="1"/>
    <xf numFmtId="43" fontId="27" fillId="4" borderId="0" xfId="1" applyFont="1" applyFill="1"/>
    <xf numFmtId="43" fontId="8" fillId="0" borderId="0" xfId="1" applyFont="1" applyFill="1"/>
    <xf numFmtId="165" fontId="25" fillId="0" borderId="0" xfId="0" applyFont="1" applyFill="1"/>
    <xf numFmtId="43" fontId="4" fillId="0" borderId="0" xfId="1" applyFont="1" applyAlignment="1">
      <alignment horizontal="right"/>
    </xf>
    <xf numFmtId="43" fontId="3" fillId="0" borderId="23" xfId="1" applyFont="1" applyBorder="1"/>
    <xf numFmtId="43" fontId="3" fillId="0" borderId="23" xfId="1" applyFont="1" applyFill="1" applyBorder="1" applyAlignment="1">
      <alignment horizontal="center"/>
    </xf>
    <xf numFmtId="43" fontId="3" fillId="0" borderId="11" xfId="1" applyFont="1" applyFill="1" applyBorder="1" applyAlignment="1">
      <alignment horizontal="center"/>
    </xf>
    <xf numFmtId="43" fontId="3" fillId="0" borderId="5" xfId="1" applyFont="1" applyFill="1" applyBorder="1" applyAlignment="1">
      <alignment horizontal="center"/>
    </xf>
    <xf numFmtId="165" fontId="3" fillId="0" borderId="5" xfId="0" applyFont="1" applyFill="1" applyBorder="1" applyAlignment="1">
      <alignment horizontal="center"/>
    </xf>
    <xf numFmtId="165" fontId="3" fillId="0" borderId="8" xfId="0" applyFont="1" applyFill="1" applyBorder="1" applyAlignment="1">
      <alignment horizontal="center"/>
    </xf>
    <xf numFmtId="43" fontId="3" fillId="0" borderId="10" xfId="1" applyFont="1" applyFill="1" applyBorder="1" applyAlignment="1">
      <alignment horizontal="center"/>
    </xf>
    <xf numFmtId="10" fontId="3" fillId="0" borderId="0" xfId="1" applyNumberFormat="1" applyFont="1" applyBorder="1"/>
    <xf numFmtId="41" fontId="3" fillId="0" borderId="12" xfId="1" applyNumberFormat="1" applyFont="1" applyFill="1" applyBorder="1"/>
    <xf numFmtId="14" fontId="2" fillId="0" borderId="0" xfId="0" applyNumberFormat="1" applyFont="1" applyAlignment="1">
      <alignment horizontal="center"/>
    </xf>
    <xf numFmtId="9" fontId="0" fillId="0" borderId="0" xfId="0" applyNumberFormat="1" applyAlignment="1">
      <alignment horizontal="center"/>
    </xf>
    <xf numFmtId="41" fontId="0" fillId="0" borderId="28" xfId="0" applyNumberFormat="1" applyBorder="1" applyAlignment="1">
      <alignment horizontal="center"/>
    </xf>
    <xf numFmtId="9" fontId="0" fillId="0" borderId="28" xfId="0" applyNumberFormat="1" applyBorder="1" applyAlignment="1">
      <alignment horizontal="center"/>
    </xf>
    <xf numFmtId="42" fontId="0" fillId="0" borderId="0" xfId="0" applyNumberFormat="1"/>
    <xf numFmtId="165" fontId="4" fillId="8" borderId="2" xfId="0" applyFont="1" applyFill="1" applyBorder="1"/>
    <xf numFmtId="43" fontId="4" fillId="8" borderId="31" xfId="1" applyFont="1" applyFill="1" applyBorder="1" applyAlignment="1">
      <alignment horizontal="center"/>
    </xf>
    <xf numFmtId="43" fontId="4" fillId="8" borderId="3" xfId="1" applyFont="1" applyFill="1" applyBorder="1" applyAlignment="1">
      <alignment horizontal="center"/>
    </xf>
    <xf numFmtId="165" fontId="4" fillId="8" borderId="3" xfId="0" applyFont="1" applyFill="1" applyBorder="1" applyAlignment="1">
      <alignment horizontal="center"/>
    </xf>
    <xf numFmtId="43" fontId="4" fillId="8" borderId="37" xfId="1" applyFont="1" applyFill="1" applyBorder="1" applyAlignment="1">
      <alignment horizontal="center"/>
    </xf>
    <xf numFmtId="165" fontId="4" fillId="8" borderId="37" xfId="0" applyFont="1" applyFill="1" applyBorder="1" applyAlignment="1">
      <alignment horizontal="center"/>
    </xf>
    <xf numFmtId="165" fontId="4" fillId="8" borderId="31" xfId="0" applyFont="1" applyFill="1" applyBorder="1" applyAlignment="1">
      <alignment horizontal="center"/>
    </xf>
    <xf numFmtId="165" fontId="4" fillId="8" borderId="30" xfId="0" applyFont="1" applyFill="1" applyBorder="1"/>
    <xf numFmtId="43" fontId="4" fillId="8" borderId="5" xfId="1" applyFont="1" applyFill="1" applyBorder="1" applyAlignment="1">
      <alignment horizontal="center"/>
    </xf>
    <xf numFmtId="165" fontId="4" fillId="8" borderId="5" xfId="0" applyFont="1" applyFill="1" applyBorder="1" applyAlignment="1">
      <alignment horizontal="center"/>
    </xf>
    <xf numFmtId="165" fontId="4" fillId="8" borderId="30" xfId="0" applyFont="1" applyFill="1" applyBorder="1" applyAlignment="1">
      <alignment horizontal="center"/>
    </xf>
    <xf numFmtId="14" fontId="4" fillId="8" borderId="30" xfId="1" applyNumberFormat="1" applyFont="1" applyFill="1" applyBorder="1" applyAlignment="1">
      <alignment horizontal="center"/>
    </xf>
    <xf numFmtId="165" fontId="4" fillId="8" borderId="21" xfId="0" applyFont="1" applyFill="1" applyBorder="1" applyAlignment="1">
      <alignment horizontal="center"/>
    </xf>
    <xf numFmtId="165" fontId="3" fillId="8" borderId="22" xfId="0" applyFont="1" applyFill="1" applyBorder="1" applyAlignment="1">
      <alignment horizontal="center"/>
    </xf>
    <xf numFmtId="43" fontId="3" fillId="8" borderId="23" xfId="1" applyFont="1" applyFill="1" applyBorder="1" applyAlignment="1">
      <alignment horizontal="center"/>
    </xf>
    <xf numFmtId="41" fontId="3" fillId="8" borderId="23" xfId="0" applyNumberFormat="1" applyFont="1" applyFill="1" applyBorder="1" applyAlignment="1">
      <alignment horizontal="center"/>
    </xf>
    <xf numFmtId="43" fontId="3" fillId="8" borderId="8" xfId="1" applyFont="1" applyFill="1" applyBorder="1"/>
    <xf numFmtId="41" fontId="3" fillId="8" borderId="8" xfId="0" applyNumberFormat="1" applyFont="1" applyFill="1" applyBorder="1"/>
    <xf numFmtId="41" fontId="3" fillId="8" borderId="10" xfId="0" applyNumberFormat="1" applyFont="1" applyFill="1" applyBorder="1"/>
    <xf numFmtId="41" fontId="3" fillId="8" borderId="24" xfId="0" applyNumberFormat="1" applyFont="1" applyFill="1" applyBorder="1"/>
    <xf numFmtId="165" fontId="3" fillId="8" borderId="10" xfId="0" applyFont="1" applyFill="1" applyBorder="1"/>
    <xf numFmtId="165" fontId="3" fillId="8" borderId="24" xfId="0" applyFont="1" applyFill="1" applyBorder="1"/>
    <xf numFmtId="43" fontId="3" fillId="8" borderId="12" xfId="1" applyFont="1" applyFill="1" applyBorder="1"/>
    <xf numFmtId="41" fontId="3" fillId="8" borderId="11" xfId="0" applyNumberFormat="1" applyFont="1" applyFill="1" applyBorder="1"/>
    <xf numFmtId="43" fontId="3" fillId="8" borderId="11" xfId="1" applyFont="1" applyFill="1" applyBorder="1"/>
    <xf numFmtId="10" fontId="3" fillId="8" borderId="33" xfId="1" applyNumberFormat="1" applyFont="1" applyFill="1" applyBorder="1"/>
    <xf numFmtId="43" fontId="3" fillId="8" borderId="18" xfId="1" applyFont="1" applyFill="1" applyBorder="1"/>
    <xf numFmtId="41" fontId="3" fillId="8" borderId="18" xfId="0" applyNumberFormat="1" applyFont="1" applyFill="1" applyBorder="1"/>
    <xf numFmtId="165" fontId="3" fillId="8" borderId="7" xfId="0" applyFont="1" applyFill="1" applyBorder="1"/>
    <xf numFmtId="43" fontId="3" fillId="8" borderId="16" xfId="1" applyFont="1" applyFill="1" applyBorder="1"/>
    <xf numFmtId="43" fontId="3" fillId="8" borderId="7" xfId="1" applyFont="1" applyFill="1" applyBorder="1"/>
    <xf numFmtId="41" fontId="3" fillId="8" borderId="7" xfId="0" applyNumberFormat="1" applyFont="1" applyFill="1" applyBorder="1"/>
    <xf numFmtId="43" fontId="3" fillId="8" borderId="10" xfId="1" applyFont="1" applyFill="1" applyBorder="1"/>
    <xf numFmtId="41" fontId="3" fillId="8" borderId="12" xfId="0" applyNumberFormat="1" applyFont="1" applyFill="1" applyBorder="1"/>
    <xf numFmtId="165" fontId="3" fillId="8" borderId="41" xfId="0" applyFont="1" applyFill="1" applyBorder="1"/>
    <xf numFmtId="165" fontId="4" fillId="8" borderId="7" xfId="0" applyFont="1" applyFill="1" applyBorder="1" applyAlignment="1">
      <alignment horizontal="center"/>
    </xf>
    <xf numFmtId="43" fontId="4" fillId="8" borderId="8" xfId="1" applyFont="1" applyFill="1" applyBorder="1" applyAlignment="1">
      <alignment horizontal="center"/>
    </xf>
    <xf numFmtId="43" fontId="3" fillId="8" borderId="8" xfId="1" applyFont="1" applyFill="1" applyBorder="1" applyAlignment="1">
      <alignment horizontal="center"/>
    </xf>
    <xf numFmtId="165" fontId="3" fillId="8" borderId="8" xfId="0" applyFont="1" applyFill="1" applyBorder="1" applyAlignment="1">
      <alignment horizontal="center"/>
    </xf>
    <xf numFmtId="43" fontId="3" fillId="8" borderId="16" xfId="1" applyFont="1" applyFill="1" applyBorder="1" applyAlignment="1">
      <alignment horizontal="center"/>
    </xf>
    <xf numFmtId="165" fontId="3" fillId="8" borderId="0" xfId="0" applyFont="1" applyFill="1" applyBorder="1"/>
    <xf numFmtId="165" fontId="3" fillId="8" borderId="23" xfId="0" applyFont="1" applyFill="1" applyBorder="1"/>
    <xf numFmtId="165" fontId="3" fillId="8" borderId="16" xfId="0" applyFont="1" applyFill="1" applyBorder="1" applyAlignment="1">
      <alignment horizontal="center"/>
    </xf>
    <xf numFmtId="43" fontId="3" fillId="8" borderId="19" xfId="1" applyFont="1" applyFill="1" applyBorder="1"/>
    <xf numFmtId="41" fontId="3" fillId="8" borderId="8" xfId="1" applyNumberFormat="1" applyFont="1" applyFill="1" applyBorder="1"/>
    <xf numFmtId="41" fontId="3" fillId="8" borderId="11" xfId="1" applyNumberFormat="1" applyFont="1" applyFill="1" applyBorder="1"/>
    <xf numFmtId="43" fontId="0" fillId="8" borderId="11" xfId="1" applyFont="1" applyFill="1" applyBorder="1"/>
    <xf numFmtId="41" fontId="3" fillId="8" borderId="23" xfId="0" applyNumberFormat="1" applyFont="1" applyFill="1" applyBorder="1"/>
    <xf numFmtId="41" fontId="3" fillId="8" borderId="33" xfId="0" applyNumberFormat="1" applyFont="1" applyFill="1" applyBorder="1"/>
    <xf numFmtId="165" fontId="3" fillId="8" borderId="11" xfId="0" applyFont="1" applyFill="1" applyBorder="1"/>
    <xf numFmtId="165" fontId="3" fillId="8" borderId="0" xfId="0" applyFont="1" applyFill="1"/>
    <xf numFmtId="43" fontId="3" fillId="8" borderId="0" xfId="1" applyFont="1" applyFill="1"/>
    <xf numFmtId="41" fontId="3" fillId="8" borderId="0" xfId="0" applyNumberFormat="1" applyFont="1" applyFill="1"/>
    <xf numFmtId="165" fontId="3" fillId="8" borderId="8" xfId="0" applyFont="1" applyFill="1" applyBorder="1"/>
    <xf numFmtId="41" fontId="3" fillId="8" borderId="43" xfId="0" applyNumberFormat="1" applyFont="1" applyFill="1" applyBorder="1"/>
    <xf numFmtId="41" fontId="3" fillId="8" borderId="42" xfId="0" applyNumberFormat="1" applyFont="1" applyFill="1" applyBorder="1"/>
    <xf numFmtId="43" fontId="4" fillId="8" borderId="30" xfId="1" applyFont="1" applyFill="1" applyBorder="1" applyAlignment="1">
      <alignment horizontal="center"/>
    </xf>
    <xf numFmtId="41" fontId="3" fillId="8" borderId="55" xfId="0" applyNumberFormat="1" applyFont="1" applyFill="1" applyBorder="1"/>
    <xf numFmtId="41" fontId="3" fillId="8" borderId="22" xfId="0" applyNumberFormat="1" applyFont="1" applyFill="1" applyBorder="1"/>
    <xf numFmtId="41" fontId="3" fillId="8" borderId="40" xfId="0" applyNumberFormat="1" applyFont="1" applyFill="1" applyBorder="1"/>
    <xf numFmtId="41" fontId="3" fillId="8" borderId="44" xfId="0" applyNumberFormat="1" applyFont="1" applyFill="1" applyBorder="1"/>
    <xf numFmtId="43" fontId="3" fillId="8" borderId="33" xfId="1" applyFont="1" applyFill="1" applyBorder="1"/>
    <xf numFmtId="43" fontId="3" fillId="8" borderId="23" xfId="1" applyFont="1" applyFill="1" applyBorder="1"/>
    <xf numFmtId="41" fontId="3" fillId="8" borderId="37" xfId="0" applyNumberFormat="1" applyFont="1" applyFill="1" applyBorder="1"/>
    <xf numFmtId="43" fontId="3" fillId="8" borderId="24" xfId="1" applyFont="1" applyFill="1" applyBorder="1"/>
    <xf numFmtId="43" fontId="3" fillId="8" borderId="44" xfId="1" applyFont="1" applyFill="1" applyBorder="1"/>
    <xf numFmtId="43" fontId="3" fillId="8" borderId="43" xfId="1" applyFont="1" applyFill="1" applyBorder="1"/>
    <xf numFmtId="41" fontId="3" fillId="8" borderId="24" xfId="1" applyNumberFormat="1" applyFont="1" applyFill="1" applyBorder="1"/>
    <xf numFmtId="165" fontId="4" fillId="8" borderId="38" xfId="0" applyFont="1" applyFill="1" applyBorder="1" applyAlignment="1">
      <alignment horizontal="center"/>
    </xf>
    <xf numFmtId="165" fontId="4" fillId="8" borderId="16" xfId="0" applyFont="1" applyFill="1" applyBorder="1" applyAlignment="1">
      <alignment horizontal="center"/>
    </xf>
    <xf numFmtId="14" fontId="4" fillId="8" borderId="38" xfId="1" applyNumberFormat="1" applyFont="1" applyFill="1" applyBorder="1" applyAlignment="1">
      <alignment horizontal="center"/>
    </xf>
    <xf numFmtId="165" fontId="4" fillId="8" borderId="20" xfId="0" applyFont="1" applyFill="1" applyBorder="1" applyAlignment="1">
      <alignment horizontal="center"/>
    </xf>
    <xf numFmtId="41" fontId="3" fillId="8" borderId="11" xfId="0" applyNumberFormat="1" applyFont="1" applyFill="1" applyBorder="1" applyAlignment="1">
      <alignment horizontal="center"/>
    </xf>
    <xf numFmtId="43" fontId="3" fillId="8" borderId="11" xfId="1" applyFont="1" applyFill="1" applyBorder="1" applyAlignment="1">
      <alignment horizontal="center"/>
    </xf>
    <xf numFmtId="43" fontId="4" fillId="8" borderId="11" xfId="1" applyFont="1" applyFill="1" applyBorder="1" applyAlignment="1">
      <alignment horizontal="center"/>
    </xf>
    <xf numFmtId="41" fontId="4" fillId="8" borderId="10" xfId="0" applyNumberFormat="1" applyFont="1" applyFill="1" applyBorder="1" applyAlignment="1">
      <alignment horizontal="center"/>
    </xf>
    <xf numFmtId="41" fontId="4" fillId="8" borderId="24" xfId="0" applyNumberFormat="1" applyFont="1" applyFill="1" applyBorder="1" applyAlignment="1">
      <alignment horizontal="center"/>
    </xf>
    <xf numFmtId="43" fontId="3" fillId="8" borderId="11" xfId="1" quotePrefix="1" applyFont="1" applyFill="1" applyBorder="1"/>
    <xf numFmtId="43" fontId="4" fillId="8" borderId="11" xfId="1" quotePrefix="1" applyFont="1" applyFill="1" applyBorder="1"/>
    <xf numFmtId="41" fontId="3" fillId="8" borderId="24" xfId="0" quotePrefix="1" applyNumberFormat="1" applyFont="1" applyFill="1" applyBorder="1"/>
    <xf numFmtId="43" fontId="3" fillId="8" borderId="12" xfId="1" quotePrefix="1" applyFont="1" applyFill="1" applyBorder="1"/>
    <xf numFmtId="165" fontId="4" fillId="8" borderId="55" xfId="0" applyFont="1" applyFill="1" applyBorder="1" applyAlignment="1">
      <alignment horizontal="center"/>
    </xf>
    <xf numFmtId="165" fontId="4" fillId="8" borderId="22" xfId="0" applyFont="1" applyFill="1" applyBorder="1" applyAlignment="1">
      <alignment horizontal="center"/>
    </xf>
    <xf numFmtId="41" fontId="4" fillId="8" borderId="7" xfId="0" applyNumberFormat="1" applyFont="1" applyFill="1" applyBorder="1"/>
    <xf numFmtId="165" fontId="4" fillId="8" borderId="38" xfId="0" applyFont="1" applyFill="1" applyBorder="1"/>
    <xf numFmtId="43" fontId="4" fillId="8" borderId="38" xfId="1" applyFont="1" applyFill="1" applyBorder="1" applyAlignment="1">
      <alignment horizontal="center"/>
    </xf>
    <xf numFmtId="165" fontId="4" fillId="8" borderId="11" xfId="0" applyFont="1" applyFill="1" applyBorder="1" applyAlignment="1">
      <alignment horizontal="center"/>
    </xf>
    <xf numFmtId="165" fontId="3" fillId="8" borderId="11" xfId="0" applyFont="1" applyFill="1" applyBorder="1" applyAlignment="1">
      <alignment horizontal="center"/>
    </xf>
    <xf numFmtId="43" fontId="24" fillId="0" borderId="11" xfId="1" applyFont="1" applyFill="1" applyBorder="1"/>
    <xf numFmtId="165" fontId="4" fillId="9" borderId="4" xfId="0" applyFont="1" applyFill="1" applyBorder="1"/>
    <xf numFmtId="165" fontId="4" fillId="9" borderId="30" xfId="0" applyFont="1" applyFill="1" applyBorder="1"/>
    <xf numFmtId="165" fontId="4" fillId="9" borderId="5" xfId="0" applyFont="1" applyFill="1" applyBorder="1" applyAlignment="1">
      <alignment horizontal="center"/>
    </xf>
    <xf numFmtId="165" fontId="3" fillId="9" borderId="6" xfId="0" applyFont="1" applyFill="1" applyBorder="1"/>
    <xf numFmtId="165" fontId="3" fillId="9" borderId="7" xfId="0" applyFont="1" applyFill="1" applyBorder="1"/>
    <xf numFmtId="41" fontId="3" fillId="9" borderId="8" xfId="0" applyNumberFormat="1" applyFont="1" applyFill="1" applyBorder="1"/>
    <xf numFmtId="165" fontId="3" fillId="9" borderId="9" xfId="0" applyFont="1" applyFill="1" applyBorder="1"/>
    <xf numFmtId="165" fontId="3" fillId="9" borderId="10" xfId="0" applyFont="1" applyFill="1" applyBorder="1"/>
    <xf numFmtId="41" fontId="3" fillId="9" borderId="11" xfId="0" applyNumberFormat="1" applyFont="1" applyFill="1" applyBorder="1"/>
    <xf numFmtId="165" fontId="3" fillId="9" borderId="8" xfId="0" applyFont="1" applyFill="1" applyBorder="1"/>
    <xf numFmtId="165" fontId="3" fillId="9" borderId="11" xfId="0" applyFont="1" applyFill="1" applyBorder="1"/>
    <xf numFmtId="41" fontId="3" fillId="9" borderId="12" xfId="0" applyNumberFormat="1" applyFont="1" applyFill="1" applyBorder="1"/>
    <xf numFmtId="41" fontId="4" fillId="9" borderId="11" xfId="0" applyNumberFormat="1" applyFont="1" applyFill="1" applyBorder="1"/>
    <xf numFmtId="165" fontId="3" fillId="10" borderId="7" xfId="0" applyFont="1" applyFill="1" applyBorder="1"/>
    <xf numFmtId="41" fontId="3" fillId="10" borderId="8" xfId="0" applyNumberFormat="1" applyFont="1" applyFill="1" applyBorder="1"/>
    <xf numFmtId="165" fontId="3" fillId="10" borderId="9" xfId="0" applyFont="1" applyFill="1" applyBorder="1"/>
    <xf numFmtId="165" fontId="3" fillId="10" borderId="10" xfId="0" applyFont="1" applyFill="1" applyBorder="1"/>
    <xf numFmtId="41" fontId="3" fillId="10" borderId="11" xfId="0" applyNumberFormat="1" applyFont="1" applyFill="1" applyBorder="1"/>
    <xf numFmtId="165" fontId="3" fillId="10" borderId="8" xfId="0" applyFont="1" applyFill="1" applyBorder="1"/>
    <xf numFmtId="165" fontId="3" fillId="10" borderId="11" xfId="0" applyFont="1" applyFill="1" applyBorder="1"/>
    <xf numFmtId="41" fontId="3" fillId="10" borderId="12" xfId="0" applyNumberFormat="1" applyFont="1" applyFill="1" applyBorder="1"/>
    <xf numFmtId="41" fontId="4" fillId="10" borderId="11" xfId="0" applyNumberFormat="1" applyFont="1" applyFill="1" applyBorder="1"/>
    <xf numFmtId="165" fontId="4" fillId="6" borderId="4" xfId="0" applyFont="1" applyFill="1" applyBorder="1"/>
    <xf numFmtId="165" fontId="3" fillId="6" borderId="7" xfId="0" applyFont="1" applyFill="1" applyBorder="1"/>
    <xf numFmtId="165" fontId="3" fillId="6" borderId="9" xfId="0" applyFont="1" applyFill="1" applyBorder="1"/>
    <xf numFmtId="165" fontId="3" fillId="6" borderId="10" xfId="0" applyFont="1" applyFill="1" applyBorder="1"/>
    <xf numFmtId="165" fontId="3" fillId="6" borderId="8" xfId="0" applyFont="1" applyFill="1" applyBorder="1"/>
    <xf numFmtId="165" fontId="3" fillId="6" borderId="11" xfId="0" applyFont="1" applyFill="1" applyBorder="1"/>
    <xf numFmtId="41" fontId="4" fillId="6" borderId="11" xfId="0" applyNumberFormat="1" applyFont="1" applyFill="1" applyBorder="1"/>
    <xf numFmtId="41" fontId="3" fillId="6" borderId="17" xfId="0" applyNumberFormat="1" applyFont="1" applyFill="1" applyBorder="1"/>
    <xf numFmtId="165" fontId="4" fillId="10" borderId="6" xfId="0" applyFont="1" applyFill="1" applyBorder="1"/>
    <xf numFmtId="165" fontId="3" fillId="11" borderId="6" xfId="0" applyFont="1" applyFill="1" applyBorder="1"/>
    <xf numFmtId="165" fontId="3" fillId="11" borderId="7" xfId="0" applyFont="1" applyFill="1" applyBorder="1"/>
    <xf numFmtId="41" fontId="3" fillId="11" borderId="8" xfId="0" applyNumberFormat="1" applyFont="1" applyFill="1" applyBorder="1"/>
    <xf numFmtId="165" fontId="4" fillId="0" borderId="6" xfId="0" applyFont="1" applyBorder="1"/>
    <xf numFmtId="41" fontId="3" fillId="0" borderId="56" xfId="0" applyNumberFormat="1" applyFont="1" applyBorder="1"/>
    <xf numFmtId="41" fontId="3" fillId="4" borderId="16" xfId="0" applyNumberFormat="1" applyFont="1" applyFill="1" applyBorder="1"/>
    <xf numFmtId="41" fontId="3" fillId="0" borderId="58" xfId="0" applyNumberFormat="1" applyFont="1" applyBorder="1"/>
    <xf numFmtId="41" fontId="3" fillId="0" borderId="57" xfId="0" applyNumberFormat="1" applyFont="1" applyBorder="1"/>
    <xf numFmtId="165" fontId="3" fillId="0" borderId="18" xfId="0" applyFont="1" applyBorder="1"/>
    <xf numFmtId="43" fontId="3" fillId="0" borderId="18" xfId="0" applyNumberFormat="1" applyFont="1" applyBorder="1"/>
    <xf numFmtId="164" fontId="39" fillId="0" borderId="11" xfId="0" applyNumberFormat="1" applyFont="1" applyBorder="1"/>
    <xf numFmtId="164" fontId="39" fillId="0" borderId="8" xfId="0" applyNumberFormat="1" applyFont="1" applyBorder="1"/>
    <xf numFmtId="164" fontId="39" fillId="0" borderId="19" xfId="0" applyNumberFormat="1" applyFont="1" applyBorder="1"/>
    <xf numFmtId="41" fontId="3" fillId="8" borderId="10" xfId="0" quotePrefix="1" applyNumberFormat="1" applyFont="1" applyFill="1" applyBorder="1" applyAlignment="1">
      <alignment horizontal="left"/>
    </xf>
    <xf numFmtId="41" fontId="3" fillId="8" borderId="10" xfId="0" applyNumberFormat="1" applyFont="1" applyFill="1" applyBorder="1" applyAlignment="1">
      <alignment horizontal="left"/>
    </xf>
    <xf numFmtId="8" fontId="3" fillId="0" borderId="0" xfId="0" applyNumberFormat="1" applyFont="1" applyFill="1" applyBorder="1"/>
    <xf numFmtId="41" fontId="3" fillId="8" borderId="10" xfId="0" applyNumberFormat="1" applyFont="1" applyFill="1" applyBorder="1" applyAlignment="1">
      <alignment horizontal="left"/>
    </xf>
    <xf numFmtId="165" fontId="31" fillId="0" borderId="0" xfId="0" applyFont="1" applyAlignment="1">
      <alignment vertical="center"/>
    </xf>
    <xf numFmtId="165" fontId="3" fillId="10" borderId="0" xfId="0" applyFont="1" applyFill="1" applyBorder="1"/>
    <xf numFmtId="165" fontId="3" fillId="6" borderId="0" xfId="0" applyFont="1" applyFill="1" applyBorder="1"/>
    <xf numFmtId="165" fontId="3" fillId="13" borderId="0" xfId="0" applyFont="1" applyFill="1" applyBorder="1"/>
    <xf numFmtId="43" fontId="3" fillId="0" borderId="15" xfId="1" applyNumberFormat="1" applyFont="1" applyBorder="1"/>
    <xf numFmtId="165" fontId="13" fillId="0" borderId="0" xfId="0" applyFont="1"/>
    <xf numFmtId="41" fontId="2" fillId="0" borderId="26" xfId="0" applyNumberFormat="1" applyFont="1" applyBorder="1" applyAlignment="1">
      <alignment horizontal="center"/>
    </xf>
    <xf numFmtId="165" fontId="29" fillId="0" borderId="0" xfId="0" applyFont="1"/>
    <xf numFmtId="41" fontId="29" fillId="0" borderId="0" xfId="0" applyNumberFormat="1" applyFont="1"/>
    <xf numFmtId="41" fontId="29" fillId="0" borderId="0" xfId="0" applyNumberFormat="1" applyFont="1" applyFill="1" applyAlignment="1">
      <alignment horizontal="center"/>
    </xf>
    <xf numFmtId="41" fontId="29" fillId="0" borderId="0" xfId="0" applyNumberFormat="1" applyFont="1" applyAlignment="1">
      <alignment horizontal="center"/>
    </xf>
    <xf numFmtId="10" fontId="29" fillId="0" borderId="0" xfId="0" applyNumberFormat="1" applyFont="1"/>
    <xf numFmtId="41" fontId="29" fillId="0" borderId="28" xfId="0" applyNumberFormat="1" applyFont="1" applyBorder="1"/>
    <xf numFmtId="41" fontId="29" fillId="0" borderId="0" xfId="0" applyNumberFormat="1" applyFont="1" applyBorder="1"/>
    <xf numFmtId="41" fontId="29" fillId="0" borderId="27" xfId="0" applyNumberFormat="1" applyFont="1" applyBorder="1"/>
    <xf numFmtId="41" fontId="3" fillId="0" borderId="16" xfId="1" applyNumberFormat="1" applyFont="1" applyFill="1" applyBorder="1"/>
    <xf numFmtId="165" fontId="15" fillId="0" borderId="0" xfId="0" applyFont="1" applyAlignment="1">
      <alignment horizontal="center"/>
    </xf>
    <xf numFmtId="165" fontId="0" fillId="0" borderId="28" xfId="0" applyFill="1" applyBorder="1"/>
    <xf numFmtId="165" fontId="42" fillId="0" borderId="0" xfId="0" applyFont="1"/>
    <xf numFmtId="43" fontId="29" fillId="0" borderId="0" xfId="1" applyFont="1"/>
    <xf numFmtId="165" fontId="14" fillId="0" borderId="0" xfId="0" applyFont="1"/>
    <xf numFmtId="165" fontId="29" fillId="0" borderId="40" xfId="0" applyFont="1" applyBorder="1"/>
    <xf numFmtId="165" fontId="29" fillId="0" borderId="26" xfId="0" applyFont="1" applyBorder="1"/>
    <xf numFmtId="43" fontId="29" fillId="0" borderId="26" xfId="1" applyFont="1" applyBorder="1"/>
    <xf numFmtId="165" fontId="29" fillId="0" borderId="44" xfId="0" applyFont="1" applyBorder="1"/>
    <xf numFmtId="165" fontId="29" fillId="0" borderId="20" xfId="0" applyFont="1" applyBorder="1"/>
    <xf numFmtId="165" fontId="29" fillId="0" borderId="0" xfId="0" applyFont="1" applyBorder="1"/>
    <xf numFmtId="43" fontId="29" fillId="0" borderId="0" xfId="1" applyFont="1" applyBorder="1"/>
    <xf numFmtId="165" fontId="29" fillId="0" borderId="38" xfId="0" applyFont="1" applyBorder="1"/>
    <xf numFmtId="43" fontId="29" fillId="0" borderId="28" xfId="1" applyFont="1" applyFill="1" applyBorder="1"/>
    <xf numFmtId="43" fontId="29" fillId="0" borderId="28" xfId="1" applyFont="1" applyBorder="1"/>
    <xf numFmtId="165" fontId="29" fillId="0" borderId="7" xfId="0" applyFont="1" applyBorder="1"/>
    <xf numFmtId="165" fontId="29" fillId="0" borderId="28" xfId="0" applyFont="1" applyBorder="1"/>
    <xf numFmtId="165" fontId="29" fillId="0" borderId="33" xfId="0" applyFont="1" applyBorder="1"/>
    <xf numFmtId="43" fontId="29" fillId="0" borderId="0" xfId="0" applyNumberFormat="1" applyFont="1" applyBorder="1"/>
    <xf numFmtId="9" fontId="29" fillId="0" borderId="0" xfId="0" applyNumberFormat="1" applyFont="1" applyBorder="1"/>
    <xf numFmtId="16" fontId="29" fillId="0" borderId="0" xfId="0" applyNumberFormat="1" applyFont="1" applyBorder="1"/>
    <xf numFmtId="10" fontId="29" fillId="0" borderId="0" xfId="0" applyNumberFormat="1" applyFont="1" applyBorder="1"/>
    <xf numFmtId="43" fontId="14" fillId="0" borderId="0" xfId="1" applyFont="1" applyBorder="1"/>
    <xf numFmtId="165" fontId="29" fillId="0" borderId="0" xfId="0" applyFont="1" applyFill="1" applyBorder="1"/>
    <xf numFmtId="43" fontId="29" fillId="0" borderId="0" xfId="0" applyNumberFormat="1" applyFont="1" applyFill="1" applyBorder="1"/>
    <xf numFmtId="43" fontId="14" fillId="0" borderId="28" xfId="1" applyFont="1" applyBorder="1"/>
    <xf numFmtId="43" fontId="29" fillId="0" borderId="28" xfId="0" applyNumberFormat="1" applyFont="1" applyBorder="1"/>
    <xf numFmtId="10" fontId="29" fillId="0" borderId="0" xfId="1" applyNumberFormat="1" applyFont="1" applyBorder="1"/>
    <xf numFmtId="9" fontId="29" fillId="0" borderId="0" xfId="1" applyNumberFormat="1" applyFont="1" applyBorder="1"/>
    <xf numFmtId="165" fontId="14" fillId="0" borderId="0" xfId="0" applyFont="1" applyFill="1" applyBorder="1"/>
    <xf numFmtId="9" fontId="29" fillId="0" borderId="28" xfId="1" applyNumberFormat="1" applyFont="1" applyBorder="1"/>
    <xf numFmtId="165" fontId="29" fillId="0" borderId="0" xfId="0" applyFont="1" applyAlignment="1">
      <alignment horizontal="center"/>
    </xf>
    <xf numFmtId="14" fontId="29" fillId="0" borderId="0" xfId="0" applyNumberFormat="1" applyFont="1" applyAlignment="1">
      <alignment horizontal="center"/>
    </xf>
    <xf numFmtId="165" fontId="43" fillId="0" borderId="0" xfId="0" applyFont="1"/>
    <xf numFmtId="41" fontId="29" fillId="0" borderId="0" xfId="0" applyNumberFormat="1" applyFont="1" applyFill="1"/>
    <xf numFmtId="10" fontId="29" fillId="0" borderId="0" xfId="0" applyNumberFormat="1" applyFont="1" applyAlignment="1">
      <alignment horizontal="left"/>
    </xf>
    <xf numFmtId="41" fontId="29" fillId="0" borderId="26" xfId="0" applyNumberFormat="1" applyFont="1" applyBorder="1"/>
    <xf numFmtId="41" fontId="29" fillId="0" borderId="26" xfId="0" applyNumberFormat="1" applyFont="1" applyFill="1" applyBorder="1"/>
    <xf numFmtId="10" fontId="29" fillId="0" borderId="0" xfId="3" applyNumberFormat="1" applyFont="1" applyFill="1" applyBorder="1"/>
    <xf numFmtId="41" fontId="29" fillId="0" borderId="0" xfId="0" applyNumberFormat="1" applyFont="1" applyFill="1" applyBorder="1" applyAlignment="1">
      <alignment horizontal="center"/>
    </xf>
    <xf numFmtId="41" fontId="29" fillId="0" borderId="0" xfId="3" applyNumberFormat="1" applyFont="1"/>
    <xf numFmtId="41" fontId="29" fillId="0" borderId="28" xfId="0" applyNumberFormat="1" applyFont="1" applyFill="1" applyBorder="1"/>
    <xf numFmtId="41" fontId="29" fillId="0" borderId="27" xfId="0" applyNumberFormat="1" applyFont="1" applyFill="1" applyBorder="1"/>
    <xf numFmtId="165" fontId="43" fillId="0" borderId="0" xfId="0" applyFont="1" applyBorder="1"/>
    <xf numFmtId="9" fontId="29" fillId="0" borderId="0" xfId="0" applyNumberFormat="1" applyFont="1" applyBorder="1" applyAlignment="1">
      <alignment horizontal="left"/>
    </xf>
    <xf numFmtId="165" fontId="15" fillId="0" borderId="0" xfId="0" applyFont="1" applyAlignment="1">
      <alignment horizontal="center"/>
    </xf>
    <xf numFmtId="165" fontId="4" fillId="0" borderId="37" xfId="0" applyFont="1" applyBorder="1"/>
    <xf numFmtId="41" fontId="3" fillId="8" borderId="33" xfId="1" applyNumberFormat="1" applyFont="1" applyFill="1" applyBorder="1"/>
    <xf numFmtId="41" fontId="3" fillId="8" borderId="12" xfId="1" applyNumberFormat="1" applyFont="1" applyFill="1" applyBorder="1"/>
    <xf numFmtId="41" fontId="3" fillId="8" borderId="8" xfId="1" applyNumberFormat="1" applyFont="1" applyFill="1" applyBorder="1" applyAlignment="1">
      <alignment horizontal="center"/>
    </xf>
    <xf numFmtId="41" fontId="3" fillId="8" borderId="16" xfId="1" applyNumberFormat="1" applyFont="1" applyFill="1" applyBorder="1" applyAlignment="1">
      <alignment horizontal="center"/>
    </xf>
    <xf numFmtId="41" fontId="3" fillId="8" borderId="18" xfId="1" applyNumberFormat="1" applyFont="1" applyFill="1" applyBorder="1"/>
    <xf numFmtId="41" fontId="0" fillId="14" borderId="54" xfId="1" applyNumberFormat="1" applyFont="1" applyFill="1" applyBorder="1"/>
    <xf numFmtId="43" fontId="2" fillId="0" borderId="54" xfId="1" applyFont="1" applyFill="1" applyBorder="1"/>
    <xf numFmtId="41" fontId="29" fillId="0" borderId="44" xfId="0" applyNumberFormat="1" applyFont="1" applyBorder="1"/>
    <xf numFmtId="41" fontId="29" fillId="0" borderId="38" xfId="0" applyNumberFormat="1" applyFont="1" applyBorder="1"/>
    <xf numFmtId="41" fontId="29" fillId="0" borderId="33" xfId="0" applyNumberFormat="1" applyFont="1" applyBorder="1"/>
    <xf numFmtId="41" fontId="29" fillId="0" borderId="18" xfId="0" applyNumberFormat="1" applyFont="1" applyBorder="1"/>
    <xf numFmtId="41" fontId="29" fillId="0" borderId="8" xfId="0" applyNumberFormat="1" applyFont="1" applyBorder="1"/>
    <xf numFmtId="41" fontId="29" fillId="0" borderId="16" xfId="0" applyNumberFormat="1" applyFont="1" applyBorder="1"/>
    <xf numFmtId="167" fontId="3" fillId="0" borderId="15" xfId="1" applyNumberFormat="1" applyFont="1" applyBorder="1"/>
    <xf numFmtId="41" fontId="4" fillId="8" borderId="11" xfId="0" applyNumberFormat="1" applyFont="1" applyFill="1" applyBorder="1"/>
    <xf numFmtId="167" fontId="3" fillId="8" borderId="11" xfId="1" applyNumberFormat="1" applyFont="1" applyFill="1" applyBorder="1"/>
    <xf numFmtId="166" fontId="3" fillId="0" borderId="15" xfId="1" applyNumberFormat="1" applyFont="1" applyBorder="1"/>
    <xf numFmtId="41" fontId="41" fillId="0" borderId="18" xfId="0" applyNumberFormat="1" applyFont="1" applyFill="1" applyBorder="1"/>
    <xf numFmtId="41" fontId="4" fillId="0" borderId="12" xfId="0" applyNumberFormat="1" applyFont="1" applyFill="1" applyBorder="1"/>
    <xf numFmtId="43" fontId="8" fillId="0" borderId="0" xfId="1" applyFont="1"/>
    <xf numFmtId="14" fontId="3" fillId="0" borderId="16" xfId="0" applyNumberFormat="1" applyFont="1" applyBorder="1"/>
    <xf numFmtId="9" fontId="4" fillId="0" borderId="18" xfId="3" applyFont="1" applyFill="1" applyBorder="1"/>
    <xf numFmtId="43" fontId="9" fillId="0" borderId="11" xfId="1" applyFont="1" applyBorder="1"/>
    <xf numFmtId="165" fontId="3" fillId="0" borderId="0" xfId="0" applyFont="1" applyAlignment="1">
      <alignment horizontal="center"/>
    </xf>
    <xf numFmtId="165" fontId="30" fillId="0" borderId="0" xfId="0" applyFont="1"/>
    <xf numFmtId="165" fontId="30" fillId="0" borderId="0" xfId="0" applyFont="1" applyAlignment="1">
      <alignment horizontal="center"/>
    </xf>
    <xf numFmtId="10" fontId="3" fillId="0" borderId="0" xfId="0" applyNumberFormat="1" applyFont="1"/>
    <xf numFmtId="165" fontId="27" fillId="0" borderId="0" xfId="0" applyFont="1" applyAlignment="1">
      <alignment horizontal="left" vertical="center" wrapText="1"/>
    </xf>
    <xf numFmtId="165" fontId="15" fillId="0" borderId="0" xfId="0" applyFont="1" applyAlignment="1">
      <alignment horizontal="center"/>
    </xf>
    <xf numFmtId="165" fontId="4" fillId="8" borderId="2" xfId="0" applyFont="1" applyFill="1" applyBorder="1" applyAlignment="1">
      <alignment horizontal="center"/>
    </xf>
    <xf numFmtId="165" fontId="4" fillId="8" borderId="29" xfId="0" applyFont="1" applyFill="1" applyBorder="1" applyAlignment="1">
      <alignment horizontal="center"/>
    </xf>
    <xf numFmtId="41" fontId="3" fillId="8" borderId="59" xfId="0" applyNumberFormat="1" applyFont="1" applyFill="1" applyBorder="1"/>
    <xf numFmtId="41" fontId="3" fillId="8" borderId="41" xfId="0" applyNumberFormat="1" applyFont="1" applyFill="1" applyBorder="1"/>
    <xf numFmtId="41" fontId="3" fillId="8" borderId="41" xfId="1" applyNumberFormat="1" applyFont="1" applyFill="1" applyBorder="1"/>
    <xf numFmtId="167" fontId="27" fillId="0" borderId="0" xfId="1" applyNumberFormat="1" applyFont="1"/>
    <xf numFmtId="167" fontId="27" fillId="0" borderId="0" xfId="0" applyNumberFormat="1" applyFont="1"/>
    <xf numFmtId="43" fontId="1" fillId="0" borderId="38" xfId="1" applyFont="1" applyFill="1" applyBorder="1"/>
    <xf numFmtId="43" fontId="1" fillId="0" borderId="33" xfId="1" applyFont="1" applyFill="1" applyBorder="1"/>
    <xf numFmtId="165" fontId="15" fillId="0" borderId="44" xfId="0" applyFont="1" applyBorder="1" applyAlignment="1">
      <alignment horizontal="center"/>
    </xf>
    <xf numFmtId="165" fontId="15" fillId="0" borderId="38" xfId="0" applyFont="1" applyBorder="1" applyAlignment="1">
      <alignment horizontal="center"/>
    </xf>
    <xf numFmtId="167" fontId="0" fillId="0" borderId="54" xfId="1" applyNumberFormat="1" applyFont="1" applyBorder="1"/>
    <xf numFmtId="43" fontId="2" fillId="14" borderId="54" xfId="1" applyFont="1" applyFill="1" applyBorder="1"/>
    <xf numFmtId="43" fontId="0" fillId="0" borderId="54" xfId="1" applyFont="1" applyFill="1" applyBorder="1"/>
    <xf numFmtId="167" fontId="0" fillId="0" borderId="54" xfId="1" applyNumberFormat="1" applyFont="1" applyFill="1" applyBorder="1"/>
    <xf numFmtId="43" fontId="3" fillId="0" borderId="11" xfId="1" applyFont="1" applyFill="1" applyBorder="1" applyAlignment="1">
      <alignment horizontal="right"/>
    </xf>
    <xf numFmtId="165" fontId="3" fillId="0" borderId="0" xfId="0" applyNumberFormat="1" applyFont="1" applyBorder="1"/>
    <xf numFmtId="41" fontId="29" fillId="0" borderId="0" xfId="3" applyNumberFormat="1" applyFont="1" applyBorder="1"/>
    <xf numFmtId="41" fontId="29" fillId="0" borderId="0" xfId="0" applyNumberFormat="1" applyFont="1" applyBorder="1" applyAlignment="1">
      <alignment horizontal="center"/>
    </xf>
    <xf numFmtId="165" fontId="2" fillId="0" borderId="20" xfId="0" applyNumberFormat="1" applyFont="1" applyBorder="1"/>
    <xf numFmtId="43" fontId="0" fillId="0" borderId="20" xfId="1" applyFont="1" applyBorder="1"/>
    <xf numFmtId="43" fontId="3" fillId="0" borderId="44" xfId="1" applyFont="1" applyFill="1" applyBorder="1"/>
    <xf numFmtId="43" fontId="39" fillId="0" borderId="11" xfId="1" applyFont="1" applyBorder="1"/>
    <xf numFmtId="43" fontId="39" fillId="0" borderId="8" xfId="1" applyFont="1" applyBorder="1"/>
    <xf numFmtId="43" fontId="39" fillId="0" borderId="19" xfId="1" applyFont="1" applyBorder="1"/>
    <xf numFmtId="165" fontId="4" fillId="0" borderId="37" xfId="0" applyFont="1" applyFill="1" applyBorder="1"/>
    <xf numFmtId="165" fontId="4" fillId="0" borderId="38" xfId="0" applyFont="1" applyFill="1" applyBorder="1"/>
    <xf numFmtId="165" fontId="4" fillId="0" borderId="30" xfId="0" applyFont="1" applyFill="1" applyBorder="1"/>
    <xf numFmtId="43" fontId="3" fillId="0" borderId="38" xfId="1" applyFont="1" applyBorder="1"/>
    <xf numFmtId="43" fontId="3" fillId="0" borderId="60" xfId="1" applyFont="1" applyBorder="1"/>
    <xf numFmtId="43" fontId="3" fillId="0" borderId="24" xfId="1" quotePrefix="1" applyFont="1" applyBorder="1"/>
    <xf numFmtId="43" fontId="3" fillId="0" borderId="43" xfId="1" quotePrefix="1" applyFont="1" applyBorder="1"/>
    <xf numFmtId="43" fontId="12" fillId="0" borderId="33" xfId="1" applyFont="1" applyBorder="1" applyAlignment="1">
      <alignment horizontal="center"/>
    </xf>
    <xf numFmtId="43" fontId="3" fillId="0" borderId="25" xfId="1" applyFont="1" applyBorder="1"/>
    <xf numFmtId="43" fontId="4" fillId="8" borderId="2" xfId="1" applyFont="1" applyFill="1" applyBorder="1" applyAlignment="1">
      <alignment horizontal="center"/>
    </xf>
    <xf numFmtId="43" fontId="3" fillId="0" borderId="61" xfId="1" applyFont="1" applyFill="1" applyBorder="1"/>
    <xf numFmtId="43" fontId="3" fillId="0" borderId="60" xfId="1" applyFont="1" applyFill="1" applyBorder="1"/>
    <xf numFmtId="43" fontId="3" fillId="0" borderId="61" xfId="1" applyFont="1" applyBorder="1"/>
    <xf numFmtId="43" fontId="3" fillId="0" borderId="38" xfId="1" applyFont="1" applyBorder="1" applyAlignment="1">
      <alignment horizontal="center"/>
    </xf>
    <xf numFmtId="165" fontId="4" fillId="0" borderId="23" xfId="0" applyFont="1" applyFill="1" applyBorder="1" applyAlignment="1">
      <alignment horizontal="center"/>
    </xf>
    <xf numFmtId="165" fontId="4" fillId="0" borderId="11" xfId="0" applyFont="1" applyFill="1" applyBorder="1"/>
    <xf numFmtId="165" fontId="4" fillId="0" borderId="15" xfId="0" applyFont="1" applyFill="1" applyBorder="1"/>
    <xf numFmtId="165" fontId="4" fillId="0" borderId="15" xfId="0" applyFont="1" applyBorder="1"/>
    <xf numFmtId="165" fontId="3" fillId="0" borderId="38" xfId="0" applyFont="1" applyBorder="1"/>
    <xf numFmtId="165" fontId="4" fillId="8" borderId="37" xfId="0" applyFont="1" applyFill="1" applyBorder="1"/>
    <xf numFmtId="165" fontId="3" fillId="0" borderId="38" xfId="0" applyFont="1" applyFill="1" applyBorder="1"/>
    <xf numFmtId="43" fontId="4" fillId="0" borderId="42" xfId="1" applyFont="1" applyFill="1" applyBorder="1"/>
    <xf numFmtId="41" fontId="2" fillId="0" borderId="0" xfId="0" applyNumberFormat="1" applyFont="1" applyAlignment="1">
      <alignment wrapText="1"/>
    </xf>
    <xf numFmtId="41" fontId="2" fillId="0" borderId="43" xfId="0" applyNumberFormat="1" applyFont="1" applyBorder="1"/>
    <xf numFmtId="165" fontId="3" fillId="0" borderId="18" xfId="0" applyFont="1" applyFill="1" applyBorder="1"/>
    <xf numFmtId="43" fontId="3" fillId="8" borderId="0" xfId="1" applyFont="1" applyFill="1" applyBorder="1"/>
    <xf numFmtId="41" fontId="3" fillId="8" borderId="0" xfId="0" applyNumberFormat="1" applyFont="1" applyFill="1" applyBorder="1"/>
    <xf numFmtId="41" fontId="3" fillId="8" borderId="0" xfId="1" applyNumberFormat="1" applyFont="1" applyFill="1" applyBorder="1"/>
    <xf numFmtId="10" fontId="3" fillId="8" borderId="0" xfId="1" applyNumberFormat="1" applyFont="1" applyFill="1" applyBorder="1"/>
    <xf numFmtId="41" fontId="3" fillId="4" borderId="11" xfId="0" applyNumberFormat="1" applyFont="1" applyFill="1" applyBorder="1"/>
    <xf numFmtId="41" fontId="3" fillId="0" borderId="7" xfId="0" applyNumberFormat="1" applyFont="1" applyFill="1" applyBorder="1"/>
    <xf numFmtId="167" fontId="0" fillId="0" borderId="0" xfId="0" applyNumberFormat="1"/>
    <xf numFmtId="167" fontId="0" fillId="0" borderId="0" xfId="1" applyNumberFormat="1" applyFont="1"/>
    <xf numFmtId="165" fontId="3" fillId="4" borderId="11" xfId="0" applyFont="1" applyFill="1" applyBorder="1"/>
    <xf numFmtId="41" fontId="3" fillId="8" borderId="16" xfId="0" applyNumberFormat="1" applyFont="1" applyFill="1" applyBorder="1"/>
    <xf numFmtId="43" fontId="0" fillId="0" borderId="28" xfId="1" applyFont="1" applyBorder="1"/>
    <xf numFmtId="167" fontId="3" fillId="0" borderId="0" xfId="1" applyNumberFormat="1" applyFont="1"/>
    <xf numFmtId="10" fontId="3" fillId="0" borderId="0" xfId="1" applyNumberFormat="1" applyFont="1" applyFill="1" applyBorder="1"/>
    <xf numFmtId="10" fontId="3" fillId="0" borderId="0" xfId="0" applyNumberFormat="1" applyFont="1" applyFill="1" applyBorder="1"/>
    <xf numFmtId="167" fontId="3" fillId="8" borderId="8" xfId="1" applyNumberFormat="1" applyFont="1" applyFill="1" applyBorder="1"/>
    <xf numFmtId="165" fontId="46" fillId="0" borderId="0" xfId="0" applyFont="1"/>
    <xf numFmtId="10" fontId="3" fillId="0" borderId="28" xfId="0" applyNumberFormat="1" applyFont="1" applyBorder="1"/>
    <xf numFmtId="165" fontId="3" fillId="4" borderId="9" xfId="0" applyFont="1" applyFill="1" applyBorder="1"/>
    <xf numFmtId="165" fontId="46" fillId="0" borderId="0" xfId="0" applyFont="1" applyBorder="1"/>
    <xf numFmtId="41" fontId="46" fillId="0" borderId="0" xfId="0" applyNumberFormat="1" applyFont="1" applyBorder="1"/>
    <xf numFmtId="167" fontId="46" fillId="0" borderId="0" xfId="1" applyNumberFormat="1" applyFont="1"/>
    <xf numFmtId="165" fontId="27" fillId="0" borderId="0" xfId="0" applyFont="1" applyFill="1"/>
    <xf numFmtId="9" fontId="0" fillId="0" borderId="0" xfId="3" applyFont="1"/>
    <xf numFmtId="9" fontId="3" fillId="0" borderId="0" xfId="3" applyFont="1"/>
    <xf numFmtId="165" fontId="47" fillId="0" borderId="0" xfId="0" applyFont="1"/>
    <xf numFmtId="165" fontId="48" fillId="0" borderId="0" xfId="0" applyFont="1"/>
    <xf numFmtId="41" fontId="12" fillId="0" borderId="12" xfId="0" applyNumberFormat="1" applyFont="1" applyBorder="1"/>
    <xf numFmtId="165" fontId="15" fillId="0" borderId="0" xfId="0" applyFont="1" applyAlignment="1">
      <alignment horizontal="center"/>
    </xf>
    <xf numFmtId="43" fontId="3" fillId="0" borderId="40" xfId="1" applyFont="1" applyFill="1" applyBorder="1" applyAlignment="1">
      <alignment horizontal="center"/>
    </xf>
    <xf numFmtId="4" fontId="3" fillId="0" borderId="0" xfId="0" applyNumberFormat="1" applyFont="1" applyFill="1" applyBorder="1"/>
    <xf numFmtId="43" fontId="3" fillId="0" borderId="0" xfId="1" applyFont="1" applyFill="1" applyBorder="1" applyAlignment="1">
      <alignment horizontal="center"/>
    </xf>
    <xf numFmtId="43" fontId="3" fillId="0" borderId="0" xfId="1" applyFont="1" applyFill="1" applyBorder="1" applyAlignment="1">
      <alignment horizontal="left"/>
    </xf>
    <xf numFmtId="43" fontId="4" fillId="0" borderId="0" xfId="1" applyFont="1" applyFill="1" applyBorder="1" applyAlignment="1">
      <alignment horizontal="center"/>
    </xf>
    <xf numFmtId="165" fontId="4" fillId="0" borderId="0" xfId="0" applyFont="1" applyFill="1" applyBorder="1"/>
    <xf numFmtId="41" fontId="46" fillId="0" borderId="0" xfId="1" applyNumberFormat="1" applyFont="1"/>
    <xf numFmtId="41" fontId="46" fillId="0" borderId="0" xfId="1" applyNumberFormat="1" applyFont="1" applyFill="1"/>
    <xf numFmtId="41" fontId="46" fillId="0" borderId="0" xfId="1" applyNumberFormat="1" applyFont="1" applyFill="1" applyBorder="1"/>
    <xf numFmtId="165" fontId="49" fillId="0" borderId="0" xfId="2" applyFont="1" applyAlignment="1" applyProtection="1"/>
    <xf numFmtId="165" fontId="50" fillId="0" borderId="0" xfId="0" applyFont="1"/>
    <xf numFmtId="165" fontId="50" fillId="0" borderId="0" xfId="0" applyFont="1" applyAlignment="1">
      <alignment horizontal="center"/>
    </xf>
    <xf numFmtId="41" fontId="50" fillId="0" borderId="0" xfId="1" applyNumberFormat="1" applyFont="1" applyAlignment="1">
      <alignment horizontal="center"/>
    </xf>
    <xf numFmtId="41" fontId="50" fillId="0" borderId="0" xfId="0" applyNumberFormat="1" applyFont="1" applyAlignment="1">
      <alignment horizontal="center"/>
    </xf>
    <xf numFmtId="41" fontId="50" fillId="0" borderId="0" xfId="0" applyNumberFormat="1" applyFont="1"/>
    <xf numFmtId="41" fontId="50" fillId="0" borderId="0" xfId="1" applyNumberFormat="1" applyFont="1"/>
    <xf numFmtId="41" fontId="50" fillId="0" borderId="28" xfId="1" applyNumberFormat="1" applyFont="1" applyBorder="1"/>
    <xf numFmtId="41" fontId="50" fillId="0" borderId="28" xfId="0" applyNumberFormat="1" applyFont="1" applyBorder="1"/>
    <xf numFmtId="41" fontId="50" fillId="0" borderId="0" xfId="0" applyNumberFormat="1" applyFont="1" applyFill="1"/>
    <xf numFmtId="41" fontId="50" fillId="0" borderId="0" xfId="1" applyNumberFormat="1" applyFont="1" applyFill="1"/>
    <xf numFmtId="165" fontId="50" fillId="0" borderId="0" xfId="0" applyFont="1" applyFill="1"/>
    <xf numFmtId="41" fontId="51" fillId="0" borderId="0" xfId="1" applyNumberFormat="1" applyFont="1"/>
    <xf numFmtId="41" fontId="51" fillId="0" borderId="0" xfId="0" applyNumberFormat="1" applyFont="1"/>
    <xf numFmtId="165" fontId="51" fillId="0" borderId="0" xfId="0" applyFont="1"/>
    <xf numFmtId="41" fontId="50" fillId="0" borderId="0" xfId="0" applyNumberFormat="1" applyFont="1" applyFill="1" applyAlignment="1">
      <alignment horizontal="center"/>
    </xf>
    <xf numFmtId="41" fontId="50" fillId="0" borderId="0" xfId="2" applyNumberFormat="1" applyFont="1" applyAlignment="1" applyProtection="1"/>
    <xf numFmtId="41" fontId="51" fillId="0" borderId="0" xfId="0" applyNumberFormat="1" applyFont="1" applyFill="1"/>
    <xf numFmtId="165" fontId="50" fillId="0" borderId="0" xfId="0" applyFont="1" applyFill="1" applyBorder="1"/>
    <xf numFmtId="41" fontId="50" fillId="0" borderId="0" xfId="0" applyNumberFormat="1" applyFont="1" applyFill="1" applyBorder="1"/>
    <xf numFmtId="41" fontId="51" fillId="0" borderId="0" xfId="0" applyNumberFormat="1" applyFont="1" applyFill="1" applyBorder="1"/>
    <xf numFmtId="41" fontId="50" fillId="0" borderId="0" xfId="1" applyNumberFormat="1" applyFont="1" applyFill="1" applyAlignment="1">
      <alignment horizontal="center"/>
    </xf>
    <xf numFmtId="41" fontId="51" fillId="0" borderId="0" xfId="1" applyNumberFormat="1" applyFont="1" applyFill="1"/>
    <xf numFmtId="165" fontId="53" fillId="0" borderId="0" xfId="0" applyFont="1"/>
    <xf numFmtId="41" fontId="50" fillId="0" borderId="29" xfId="1" applyNumberFormat="1" applyFont="1" applyBorder="1"/>
    <xf numFmtId="41" fontId="50" fillId="0" borderId="0" xfId="1" applyNumberFormat="1" applyFont="1" applyFill="1" applyBorder="1"/>
    <xf numFmtId="165" fontId="54" fillId="0" borderId="0" xfId="0" applyFont="1" applyFill="1"/>
    <xf numFmtId="167" fontId="50" fillId="0" borderId="0" xfId="1" applyNumberFormat="1" applyFont="1" applyAlignment="1">
      <alignment horizontal="center"/>
    </xf>
    <xf numFmtId="167" fontId="50" fillId="0" borderId="0" xfId="1" applyNumberFormat="1" applyFont="1"/>
    <xf numFmtId="167" fontId="49" fillId="0" borderId="0" xfId="1" applyNumberFormat="1" applyFont="1" applyAlignment="1" applyProtection="1"/>
    <xf numFmtId="167" fontId="50" fillId="0" borderId="28" xfId="1" applyNumberFormat="1" applyFont="1" applyBorder="1"/>
    <xf numFmtId="167" fontId="50" fillId="0" borderId="0" xfId="1" applyNumberFormat="1" applyFont="1" applyFill="1"/>
    <xf numFmtId="167" fontId="50" fillId="0" borderId="29" xfId="1" applyNumberFormat="1" applyFont="1" applyBorder="1"/>
    <xf numFmtId="167" fontId="50" fillId="0" borderId="0" xfId="1" applyNumberFormat="1" applyFont="1" applyFill="1" applyBorder="1"/>
    <xf numFmtId="165" fontId="4" fillId="4" borderId="37" xfId="0" applyFont="1" applyFill="1" applyBorder="1"/>
    <xf numFmtId="165" fontId="3" fillId="4" borderId="8" xfId="0" applyFont="1" applyFill="1" applyBorder="1"/>
    <xf numFmtId="43" fontId="3" fillId="4" borderId="38" xfId="1" applyFont="1" applyFill="1" applyBorder="1"/>
    <xf numFmtId="43" fontId="3" fillId="4" borderId="11" xfId="1" applyFont="1" applyFill="1" applyBorder="1"/>
    <xf numFmtId="43" fontId="3" fillId="4" borderId="16" xfId="1" applyFont="1" applyFill="1" applyBorder="1"/>
    <xf numFmtId="43" fontId="3" fillId="4" borderId="24" xfId="1" applyFont="1" applyFill="1" applyBorder="1"/>
    <xf numFmtId="43" fontId="3" fillId="4" borderId="44" xfId="1" applyFont="1" applyFill="1" applyBorder="1"/>
    <xf numFmtId="43" fontId="3" fillId="4" borderId="18" xfId="1" applyFont="1" applyFill="1" applyBorder="1"/>
    <xf numFmtId="165" fontId="3" fillId="4" borderId="10" xfId="0" applyFont="1" applyFill="1" applyBorder="1"/>
    <xf numFmtId="165" fontId="3" fillId="4" borderId="7" xfId="0" applyFont="1" applyFill="1" applyBorder="1"/>
    <xf numFmtId="10" fontId="3" fillId="0" borderId="0" xfId="1" applyNumberFormat="1" applyFont="1"/>
    <xf numFmtId="165" fontId="55" fillId="0" borderId="0" xfId="0" applyFont="1"/>
    <xf numFmtId="165" fontId="55" fillId="0" borderId="0" xfId="0" applyFont="1" applyBorder="1"/>
    <xf numFmtId="165" fontId="56" fillId="0" borderId="0" xfId="0" applyFont="1" applyBorder="1"/>
    <xf numFmtId="41" fontId="2" fillId="0" borderId="0" xfId="0" applyNumberFormat="1" applyFont="1" applyBorder="1"/>
    <xf numFmtId="165" fontId="57" fillId="0" borderId="0" xfId="2" applyFont="1" applyAlignment="1" applyProtection="1"/>
    <xf numFmtId="167" fontId="29" fillId="0" borderId="0" xfId="0" applyNumberFormat="1" applyFont="1" applyBorder="1"/>
    <xf numFmtId="165" fontId="3" fillId="0" borderId="8" xfId="0" applyFont="1" applyBorder="1" applyAlignment="1">
      <alignment horizontal="left"/>
    </xf>
    <xf numFmtId="41" fontId="58" fillId="0" borderId="0" xfId="0" applyNumberFormat="1" applyFont="1" applyBorder="1"/>
    <xf numFmtId="167" fontId="29" fillId="0" borderId="0" xfId="1" applyNumberFormat="1" applyFont="1" applyBorder="1"/>
    <xf numFmtId="167" fontId="50" fillId="0" borderId="0" xfId="0" applyNumberFormat="1" applyFont="1" applyBorder="1"/>
    <xf numFmtId="167" fontId="58" fillId="0" borderId="0" xfId="1" applyNumberFormat="1" applyFont="1" applyBorder="1"/>
    <xf numFmtId="165" fontId="46" fillId="0" borderId="0" xfId="0" applyFont="1" applyFill="1" applyBorder="1"/>
    <xf numFmtId="9" fontId="3" fillId="0" borderId="11" xfId="3" applyFont="1" applyFill="1" applyBorder="1"/>
    <xf numFmtId="43" fontId="46" fillId="0" borderId="11" xfId="1" applyFont="1" applyFill="1" applyBorder="1"/>
    <xf numFmtId="41" fontId="3" fillId="0" borderId="50" xfId="0" applyNumberFormat="1" applyFont="1" applyBorder="1"/>
    <xf numFmtId="43" fontId="3" fillId="8" borderId="18" xfId="1" quotePrefix="1" applyFont="1" applyFill="1" applyBorder="1"/>
    <xf numFmtId="165" fontId="4" fillId="0" borderId="20" xfId="0" applyFont="1" applyBorder="1"/>
    <xf numFmtId="43" fontId="3" fillId="0" borderId="5" xfId="1" applyFont="1" applyBorder="1"/>
    <xf numFmtId="41" fontId="3" fillId="0" borderId="5" xfId="0" applyNumberFormat="1" applyFont="1" applyBorder="1"/>
    <xf numFmtId="10" fontId="3" fillId="8" borderId="38" xfId="1" applyNumberFormat="1" applyFont="1" applyFill="1" applyBorder="1"/>
    <xf numFmtId="41" fontId="3" fillId="8" borderId="40" xfId="0" applyNumberFormat="1" applyFont="1" applyFill="1" applyBorder="1" applyAlignment="1">
      <alignment horizontal="left"/>
    </xf>
    <xf numFmtId="10" fontId="3" fillId="8" borderId="11" xfId="1" applyNumberFormat="1" applyFont="1" applyFill="1" applyBorder="1"/>
    <xf numFmtId="41" fontId="29" fillId="0" borderId="28" xfId="3" applyNumberFormat="1" applyFont="1" applyBorder="1"/>
    <xf numFmtId="41" fontId="29" fillId="0" borderId="0" xfId="3" applyNumberFormat="1" applyFont="1" applyFill="1" applyBorder="1"/>
    <xf numFmtId="10" fontId="29" fillId="0" borderId="0" xfId="3" applyNumberFormat="1" applyFont="1" applyBorder="1"/>
    <xf numFmtId="41" fontId="0" fillId="4" borderId="28" xfId="0" applyNumberFormat="1" applyFill="1" applyBorder="1"/>
    <xf numFmtId="10" fontId="0" fillId="4" borderId="0" xfId="0" applyNumberFormat="1" applyFill="1"/>
    <xf numFmtId="39" fontId="3" fillId="0" borderId="0" xfId="0" applyNumberFormat="1" applyFont="1"/>
    <xf numFmtId="10" fontId="3" fillId="0" borderId="0" xfId="3" applyNumberFormat="1" applyFont="1"/>
    <xf numFmtId="165" fontId="3" fillId="15" borderId="0" xfId="0" applyFont="1" applyFill="1"/>
    <xf numFmtId="165" fontId="3" fillId="0" borderId="28" xfId="0" applyFont="1" applyBorder="1"/>
    <xf numFmtId="165" fontId="3" fillId="0" borderId="0" xfId="0" quotePrefix="1" applyFont="1"/>
    <xf numFmtId="10" fontId="3" fillId="0" borderId="0" xfId="0" applyNumberFormat="1" applyFont="1" applyFill="1"/>
    <xf numFmtId="165" fontId="4" fillId="0" borderId="0" xfId="0" applyNumberFormat="1" applyFont="1" applyBorder="1"/>
    <xf numFmtId="165" fontId="61" fillId="0" borderId="0" xfId="0" applyFont="1"/>
    <xf numFmtId="165" fontId="3" fillId="0" borderId="40" xfId="0" applyFont="1" applyBorder="1"/>
    <xf numFmtId="165" fontId="3" fillId="0" borderId="26" xfId="0" applyFont="1" applyBorder="1"/>
    <xf numFmtId="165" fontId="3" fillId="0" borderId="44" xfId="0" applyFont="1" applyBorder="1"/>
    <xf numFmtId="165" fontId="3" fillId="0" borderId="20" xfId="0" applyFont="1" applyBorder="1"/>
    <xf numFmtId="165" fontId="3" fillId="0" borderId="33" xfId="0" applyFont="1" applyBorder="1"/>
    <xf numFmtId="165" fontId="3" fillId="0" borderId="28" xfId="0" applyNumberFormat="1" applyFont="1" applyBorder="1"/>
    <xf numFmtId="167" fontId="3" fillId="4" borderId="63" xfId="1" applyNumberFormat="1" applyFont="1" applyFill="1" applyBorder="1"/>
    <xf numFmtId="41" fontId="3" fillId="16" borderId="0" xfId="0" applyNumberFormat="1" applyFont="1" applyFill="1"/>
    <xf numFmtId="41" fontId="3" fillId="16" borderId="28" xfId="0" applyNumberFormat="1" applyFont="1" applyFill="1" applyBorder="1"/>
    <xf numFmtId="167" fontId="3" fillId="0" borderId="0" xfId="1" applyNumberFormat="1" applyFont="1" applyFill="1"/>
    <xf numFmtId="167" fontId="4" fillId="4" borderId="63" xfId="1" applyNumberFormat="1" applyFont="1" applyFill="1" applyBorder="1"/>
    <xf numFmtId="167" fontId="62" fillId="4" borderId="63" xfId="1" applyNumberFormat="1" applyFont="1" applyFill="1" applyBorder="1"/>
    <xf numFmtId="167" fontId="3" fillId="0" borderId="0" xfId="1" applyNumberFormat="1" applyFont="1" applyBorder="1"/>
    <xf numFmtId="167" fontId="3" fillId="0" borderId="0" xfId="1" applyNumberFormat="1" applyFont="1" applyFill="1" applyBorder="1"/>
    <xf numFmtId="0" fontId="33" fillId="0" borderId="0" xfId="1" applyNumberFormat="1" applyFont="1" applyAlignment="1" applyProtection="1"/>
    <xf numFmtId="0" fontId="5" fillId="0" borderId="0" xfId="1" applyNumberFormat="1" applyFont="1"/>
    <xf numFmtId="0" fontId="3" fillId="0" borderId="0" xfId="1" applyNumberFormat="1" applyFont="1"/>
    <xf numFmtId="0" fontId="4" fillId="0" borderId="1" xfId="1" applyNumberFormat="1" applyFont="1" applyBorder="1"/>
    <xf numFmtId="0" fontId="4" fillId="0" borderId="32" xfId="1" applyNumberFormat="1" applyFont="1" applyBorder="1"/>
    <xf numFmtId="0" fontId="4" fillId="0" borderId="4" xfId="1" applyNumberFormat="1" applyFont="1" applyBorder="1"/>
    <xf numFmtId="0" fontId="3" fillId="0" borderId="6" xfId="1" applyNumberFormat="1" applyFont="1" applyBorder="1"/>
    <xf numFmtId="0" fontId="3" fillId="0" borderId="9" xfId="1" applyNumberFormat="1" applyFont="1" applyBorder="1"/>
    <xf numFmtId="0" fontId="3" fillId="0" borderId="13" xfId="1" applyNumberFormat="1" applyFont="1" applyBorder="1"/>
    <xf numFmtId="0" fontId="3" fillId="0" borderId="0" xfId="1" applyNumberFormat="1" applyFont="1" applyBorder="1"/>
    <xf numFmtId="0" fontId="4" fillId="8" borderId="1" xfId="1" applyNumberFormat="1" applyFont="1" applyFill="1" applyBorder="1"/>
    <xf numFmtId="0" fontId="0" fillId="0" borderId="0" xfId="1" applyNumberFormat="1" applyFont="1"/>
    <xf numFmtId="0" fontId="33" fillId="0" borderId="0" xfId="2" applyNumberFormat="1" applyAlignment="1" applyProtection="1"/>
    <xf numFmtId="0" fontId="5" fillId="0" borderId="0" xfId="0" applyNumberFormat="1" applyFont="1"/>
    <xf numFmtId="0" fontId="3" fillId="0" borderId="0" xfId="0" applyNumberFormat="1" applyFont="1"/>
    <xf numFmtId="0" fontId="4" fillId="0" borderId="1" xfId="0" applyNumberFormat="1" applyFont="1" applyBorder="1"/>
    <xf numFmtId="0" fontId="4" fillId="0" borderId="32" xfId="0" applyNumberFormat="1" applyFont="1" applyBorder="1"/>
    <xf numFmtId="0" fontId="4" fillId="0" borderId="4" xfId="0" applyNumberFormat="1" applyFont="1" applyBorder="1"/>
    <xf numFmtId="0" fontId="4" fillId="0" borderId="6" xfId="0" applyNumberFormat="1" applyFont="1" applyBorder="1" applyAlignment="1">
      <alignment horizontal="center"/>
    </xf>
    <xf numFmtId="0" fontId="3" fillId="0" borderId="9" xfId="0" applyNumberFormat="1" applyFont="1" applyBorder="1"/>
    <xf numFmtId="0" fontId="3" fillId="0" borderId="13" xfId="0" applyNumberFormat="1" applyFont="1" applyBorder="1"/>
    <xf numFmtId="0" fontId="3" fillId="0" borderId="35" xfId="0" applyNumberFormat="1" applyFont="1" applyBorder="1" applyAlignment="1">
      <alignment horizontal="center"/>
    </xf>
    <xf numFmtId="0" fontId="3" fillId="0" borderId="36" xfId="0" applyNumberFormat="1" applyFont="1" applyBorder="1" applyAlignment="1">
      <alignment horizontal="center"/>
    </xf>
    <xf numFmtId="0" fontId="0" fillId="0" borderId="0" xfId="0" applyNumberFormat="1"/>
    <xf numFmtId="0" fontId="3" fillId="0" borderId="0" xfId="1" quotePrefix="1" applyNumberFormat="1" applyFont="1" applyFill="1"/>
    <xf numFmtId="0" fontId="3" fillId="0" borderId="0" xfId="0" applyNumberFormat="1" applyFont="1" applyAlignment="1">
      <alignment horizontal="left" indent="5"/>
    </xf>
    <xf numFmtId="0" fontId="3" fillId="0" borderId="0" xfId="0" applyNumberFormat="1" applyFont="1" applyAlignment="1"/>
    <xf numFmtId="0" fontId="20" fillId="0" borderId="0" xfId="0" applyNumberFormat="1" applyFont="1"/>
    <xf numFmtId="0" fontId="3" fillId="0" borderId="20" xfId="0" applyNumberFormat="1" applyFont="1" applyBorder="1" applyAlignment="1">
      <alignment horizontal="center"/>
    </xf>
    <xf numFmtId="0" fontId="3" fillId="0" borderId="10" xfId="0" applyNumberFormat="1" applyFont="1" applyBorder="1"/>
    <xf numFmtId="0" fontId="3" fillId="0" borderId="21" xfId="0" applyNumberFormat="1" applyFont="1" applyBorder="1"/>
    <xf numFmtId="0" fontId="4" fillId="8" borderId="1" xfId="0" applyNumberFormat="1" applyFont="1" applyFill="1" applyBorder="1"/>
    <xf numFmtId="0" fontId="4" fillId="8" borderId="4" xfId="0" applyNumberFormat="1" applyFont="1" applyFill="1" applyBorder="1"/>
    <xf numFmtId="0" fontId="3" fillId="8" borderId="20" xfId="0" applyNumberFormat="1" applyFont="1" applyFill="1" applyBorder="1" applyAlignment="1">
      <alignment horizontal="center"/>
    </xf>
    <xf numFmtId="0" fontId="3" fillId="8" borderId="10" xfId="0" applyNumberFormat="1" applyFont="1" applyFill="1" applyBorder="1"/>
    <xf numFmtId="0" fontId="33" fillId="7" borderId="0" xfId="2" applyNumberFormat="1" applyFill="1" applyAlignment="1" applyProtection="1"/>
    <xf numFmtId="0" fontId="3" fillId="0" borderId="0" xfId="0" applyNumberFormat="1" applyFont="1" applyFill="1"/>
    <xf numFmtId="0" fontId="4" fillId="0" borderId="1" xfId="0" applyNumberFormat="1" applyFont="1" applyFill="1" applyBorder="1"/>
    <xf numFmtId="0" fontId="4" fillId="0" borderId="32" xfId="0" applyNumberFormat="1" applyFont="1" applyFill="1" applyBorder="1"/>
    <xf numFmtId="0" fontId="4" fillId="0" borderId="4" xfId="0" applyNumberFormat="1" applyFont="1" applyFill="1" applyBorder="1"/>
    <xf numFmtId="0" fontId="4" fillId="0" borderId="6" xfId="0" applyNumberFormat="1" applyFont="1" applyFill="1" applyBorder="1" applyAlignment="1">
      <alignment horizontal="center"/>
    </xf>
    <xf numFmtId="0" fontId="3" fillId="0" borderId="9" xfId="0" applyNumberFormat="1" applyFont="1" applyFill="1" applyBorder="1"/>
    <xf numFmtId="0" fontId="3" fillId="0" borderId="13" xfId="0" applyNumberFormat="1" applyFont="1" applyFill="1" applyBorder="1"/>
    <xf numFmtId="0" fontId="3" fillId="0" borderId="0" xfId="0" applyNumberFormat="1" applyFont="1" applyBorder="1"/>
    <xf numFmtId="0" fontId="4" fillId="8" borderId="6" xfId="0" applyNumberFormat="1" applyFont="1" applyFill="1" applyBorder="1" applyAlignment="1">
      <alignment horizontal="center"/>
    </xf>
    <xf numFmtId="0" fontId="3" fillId="8" borderId="9" xfId="0" applyNumberFormat="1" applyFont="1" applyFill="1" applyBorder="1"/>
    <xf numFmtId="0" fontId="3" fillId="0" borderId="6" xfId="0" applyNumberFormat="1" applyFont="1" applyBorder="1"/>
    <xf numFmtId="0" fontId="3" fillId="0" borderId="0" xfId="0" applyNumberFormat="1" applyFont="1" applyFill="1" applyBorder="1"/>
    <xf numFmtId="0" fontId="3" fillId="8" borderId="6" xfId="0" applyNumberFormat="1" applyFont="1" applyFill="1" applyBorder="1"/>
    <xf numFmtId="0" fontId="3" fillId="0" borderId="11" xfId="0" applyNumberFormat="1" applyFont="1" applyBorder="1"/>
    <xf numFmtId="0" fontId="3" fillId="0" borderId="62" xfId="0" applyNumberFormat="1" applyFont="1" applyBorder="1"/>
    <xf numFmtId="0" fontId="3" fillId="0" borderId="24" xfId="0" applyNumberFormat="1" applyFont="1" applyBorder="1"/>
    <xf numFmtId="0" fontId="3" fillId="8" borderId="11" xfId="0" applyNumberFormat="1" applyFont="1" applyFill="1" applyBorder="1"/>
    <xf numFmtId="0" fontId="3" fillId="0" borderId="6" xfId="0" applyNumberFormat="1" applyFont="1" applyBorder="1" applyAlignment="1">
      <alignment horizontal="right"/>
    </xf>
    <xf numFmtId="0" fontId="3" fillId="0" borderId="8" xfId="0" applyNumberFormat="1" applyFont="1" applyBorder="1"/>
    <xf numFmtId="0" fontId="40" fillId="0" borderId="0" xfId="0" applyNumberFormat="1" applyFont="1" applyAlignment="1">
      <alignment horizontal="center"/>
    </xf>
    <xf numFmtId="0" fontId="4" fillId="0" borderId="9" xfId="0" applyNumberFormat="1" applyFont="1" applyFill="1" applyBorder="1"/>
    <xf numFmtId="0" fontId="3" fillId="4" borderId="9" xfId="0" applyNumberFormat="1" applyFont="1" applyFill="1" applyBorder="1"/>
    <xf numFmtId="0" fontId="3" fillId="4" borderId="6" xfId="0" applyNumberFormat="1" applyFont="1" applyFill="1" applyBorder="1"/>
    <xf numFmtId="0" fontId="3" fillId="0" borderId="39" xfId="0" applyNumberFormat="1" applyFont="1" applyBorder="1"/>
    <xf numFmtId="0" fontId="0" fillId="0" borderId="0" xfId="0" applyNumberFormat="1" applyBorder="1"/>
    <xf numFmtId="0" fontId="3" fillId="8" borderId="0" xfId="0" applyNumberFormat="1" applyFont="1" applyFill="1"/>
    <xf numFmtId="0" fontId="37" fillId="0" borderId="0" xfId="0" applyNumberFormat="1" applyFont="1"/>
    <xf numFmtId="0" fontId="31" fillId="0" borderId="0" xfId="0" applyNumberFormat="1" applyFont="1"/>
    <xf numFmtId="0" fontId="36" fillId="0" borderId="0" xfId="0" applyNumberFormat="1" applyFont="1"/>
    <xf numFmtId="0" fontId="27" fillId="0" borderId="0" xfId="0" applyNumberFormat="1" applyFont="1"/>
    <xf numFmtId="0" fontId="29" fillId="0" borderId="0" xfId="0" applyNumberFormat="1" applyFont="1"/>
    <xf numFmtId="0" fontId="2" fillId="0" borderId="0" xfId="0" applyNumberFormat="1" applyFont="1"/>
    <xf numFmtId="0" fontId="3" fillId="0" borderId="0" xfId="0" applyNumberFormat="1" applyFont="1" applyAlignment="1">
      <alignment horizontal="right"/>
    </xf>
    <xf numFmtId="0" fontId="3" fillId="0" borderId="22" xfId="0" applyNumberFormat="1" applyFont="1" applyBorder="1"/>
    <xf numFmtId="0" fontId="4" fillId="0" borderId="11" xfId="0" applyNumberFormat="1" applyFont="1" applyBorder="1"/>
    <xf numFmtId="0" fontId="44" fillId="0" borderId="0" xfId="0" applyNumberFormat="1" applyFont="1"/>
    <xf numFmtId="0" fontId="3" fillId="0" borderId="11" xfId="0" applyNumberFormat="1" applyFont="1" applyFill="1" applyBorder="1"/>
    <xf numFmtId="0" fontId="3" fillId="0" borderId="32" xfId="0" applyNumberFormat="1" applyFont="1" applyBorder="1"/>
    <xf numFmtId="0" fontId="3" fillId="8" borderId="32" xfId="0" applyNumberFormat="1" applyFont="1" applyFill="1" applyBorder="1"/>
    <xf numFmtId="0" fontId="3" fillId="0" borderId="6" xfId="0" applyNumberFormat="1" applyFont="1" applyFill="1" applyBorder="1"/>
    <xf numFmtId="0" fontId="3" fillId="8" borderId="0" xfId="0" applyNumberFormat="1" applyFont="1" applyFill="1" applyBorder="1"/>
    <xf numFmtId="0" fontId="27" fillId="12" borderId="0" xfId="0" applyNumberFormat="1" applyFont="1" applyFill="1" applyAlignment="1">
      <alignment vertical="center"/>
    </xf>
    <xf numFmtId="0" fontId="20" fillId="0" borderId="0" xfId="0" applyNumberFormat="1" applyFont="1" applyAlignment="1">
      <alignment horizontal="left" indent="1"/>
    </xf>
    <xf numFmtId="0" fontId="31" fillId="0" borderId="0" xfId="0" applyNumberFormat="1" applyFont="1" applyAlignment="1">
      <alignment vertical="center"/>
    </xf>
    <xf numFmtId="0" fontId="3" fillId="0" borderId="35" xfId="0" applyNumberFormat="1" applyFont="1" applyBorder="1"/>
    <xf numFmtId="0" fontId="3" fillId="0" borderId="36" xfId="0" applyNumberFormat="1" applyFont="1" applyBorder="1"/>
    <xf numFmtId="14" fontId="3" fillId="0" borderId="0" xfId="0" applyNumberFormat="1" applyFont="1" applyBorder="1"/>
    <xf numFmtId="14" fontId="3" fillId="0" borderId="35" xfId="0" applyNumberFormat="1" applyFont="1" applyBorder="1" applyAlignment="1">
      <alignment horizontal="center"/>
    </xf>
    <xf numFmtId="0" fontId="0" fillId="0" borderId="0" xfId="0" applyNumberFormat="1" applyAlignment="1">
      <alignment horizontal="center"/>
    </xf>
    <xf numFmtId="0" fontId="9" fillId="0" borderId="0" xfId="0" applyNumberFormat="1" applyFont="1" applyFill="1" applyAlignment="1">
      <alignment horizontal="center"/>
    </xf>
    <xf numFmtId="0" fontId="2" fillId="0" borderId="0" xfId="0" applyNumberFormat="1" applyFont="1" applyFill="1" applyAlignment="1">
      <alignment horizontal="center"/>
    </xf>
    <xf numFmtId="14" fontId="3" fillId="0" borderId="0" xfId="0" applyNumberFormat="1" applyFont="1" applyFill="1"/>
    <xf numFmtId="14" fontId="3" fillId="0" borderId="0" xfId="1" applyNumberFormat="1" applyFont="1" applyFill="1" applyBorder="1"/>
    <xf numFmtId="14" fontId="27" fillId="4" borderId="0" xfId="0" applyNumberFormat="1" applyFont="1" applyFill="1" applyAlignment="1"/>
    <xf numFmtId="14" fontId="27" fillId="4" borderId="0" xfId="0" applyNumberFormat="1" applyFont="1" applyFill="1"/>
    <xf numFmtId="14" fontId="27" fillId="0" borderId="0" xfId="0" applyNumberFormat="1" applyFont="1"/>
    <xf numFmtId="41" fontId="0" fillId="0" borderId="11" xfId="0" applyNumberFormat="1" applyBorder="1"/>
    <xf numFmtId="41" fontId="0" fillId="0" borderId="11" xfId="0" applyNumberFormat="1" applyFill="1" applyBorder="1"/>
    <xf numFmtId="0" fontId="49" fillId="0" borderId="0" xfId="2" applyNumberFormat="1" applyFont="1" applyAlignment="1" applyProtection="1"/>
    <xf numFmtId="0" fontId="50" fillId="0" borderId="0" xfId="0" applyNumberFormat="1" applyFont="1"/>
    <xf numFmtId="0" fontId="49" fillId="0" borderId="0" xfId="2" quotePrefix="1" applyNumberFormat="1" applyFont="1" applyAlignment="1" applyProtection="1"/>
    <xf numFmtId="0" fontId="50" fillId="0" borderId="0" xfId="0" applyNumberFormat="1" applyFont="1" applyFill="1"/>
    <xf numFmtId="0" fontId="52" fillId="0" borderId="0" xfId="0" applyNumberFormat="1" applyFont="1"/>
    <xf numFmtId="0" fontId="50" fillId="0" borderId="0" xfId="1" applyNumberFormat="1" applyFont="1"/>
    <xf numFmtId="0" fontId="50" fillId="0" borderId="0" xfId="0" applyNumberFormat="1" applyFont="1" applyFill="1" applyBorder="1"/>
    <xf numFmtId="16" fontId="30" fillId="0" borderId="0" xfId="0" applyNumberFormat="1" applyFont="1" applyAlignment="1"/>
    <xf numFmtId="41" fontId="4" fillId="0" borderId="8" xfId="0" applyNumberFormat="1" applyFont="1" applyFill="1" applyBorder="1"/>
    <xf numFmtId="14" fontId="3" fillId="0" borderId="0" xfId="0" applyNumberFormat="1" applyFont="1" applyAlignment="1">
      <alignment horizontal="left"/>
    </xf>
    <xf numFmtId="14" fontId="3" fillId="0" borderId="0" xfId="0" applyNumberFormat="1" applyFont="1" applyAlignment="1">
      <alignment horizontal="right"/>
    </xf>
    <xf numFmtId="41" fontId="4" fillId="0" borderId="11" xfId="0" applyNumberFormat="1" applyFont="1" applyFill="1" applyBorder="1"/>
    <xf numFmtId="41" fontId="3" fillId="0" borderId="20" xfId="0" applyNumberFormat="1" applyFont="1" applyFill="1" applyBorder="1"/>
    <xf numFmtId="0" fontId="0" fillId="0" borderId="0" xfId="0" applyNumberFormat="1" applyAlignment="1">
      <alignment horizontal="right"/>
    </xf>
    <xf numFmtId="165" fontId="47" fillId="0" borderId="0" xfId="0" applyFont="1" applyFill="1"/>
    <xf numFmtId="41" fontId="47" fillId="0" borderId="0" xfId="0" applyNumberFormat="1" applyFont="1"/>
    <xf numFmtId="41" fontId="47" fillId="0" borderId="0" xfId="1" applyNumberFormat="1" applyFont="1" applyAlignment="1">
      <alignment horizontal="center"/>
    </xf>
    <xf numFmtId="41" fontId="47" fillId="0" borderId="0" xfId="1" applyNumberFormat="1" applyFont="1" applyFill="1" applyAlignment="1">
      <alignment horizontal="center"/>
    </xf>
    <xf numFmtId="41" fontId="47" fillId="0" borderId="0" xfId="0" applyNumberFormat="1" applyFont="1" applyAlignment="1">
      <alignment horizontal="center"/>
    </xf>
    <xf numFmtId="41" fontId="47" fillId="0" borderId="0" xfId="1" applyNumberFormat="1" applyFont="1"/>
    <xf numFmtId="41" fontId="48" fillId="0" borderId="0" xfId="1" applyNumberFormat="1" applyFont="1"/>
    <xf numFmtId="41" fontId="47" fillId="0" borderId="0" xfId="1" applyNumberFormat="1" applyFont="1" applyFill="1"/>
    <xf numFmtId="41" fontId="47" fillId="0" borderId="41" xfId="0" applyNumberFormat="1" applyFont="1" applyBorder="1"/>
    <xf numFmtId="41" fontId="47" fillId="0" borderId="0" xfId="0" applyNumberFormat="1" applyFont="1" applyFill="1"/>
    <xf numFmtId="41" fontId="47" fillId="0" borderId="41" xfId="1" applyNumberFormat="1" applyFont="1" applyBorder="1"/>
    <xf numFmtId="41" fontId="47" fillId="0" borderId="41" xfId="1" applyNumberFormat="1" applyFont="1" applyFill="1" applyBorder="1"/>
    <xf numFmtId="0" fontId="30" fillId="0" borderId="0" xfId="0" applyNumberFormat="1" applyFont="1"/>
    <xf numFmtId="0" fontId="4" fillId="0" borderId="0" xfId="0" applyNumberFormat="1" applyFont="1"/>
    <xf numFmtId="0" fontId="4" fillId="0" borderId="0" xfId="0" applyNumberFormat="1" applyFont="1" applyBorder="1"/>
    <xf numFmtId="0" fontId="21" fillId="0" borderId="0" xfId="0" applyNumberFormat="1" applyFont="1"/>
    <xf numFmtId="168" fontId="29" fillId="0" borderId="0" xfId="3" applyNumberFormat="1" applyFont="1"/>
    <xf numFmtId="10" fontId="50" fillId="0" borderId="0" xfId="3" applyNumberFormat="1" applyFont="1"/>
    <xf numFmtId="168" fontId="0" fillId="0" borderId="0" xfId="3" applyNumberFormat="1" applyFont="1"/>
    <xf numFmtId="41" fontId="48" fillId="0" borderId="0" xfId="1" applyNumberFormat="1" applyFont="1" applyFill="1"/>
    <xf numFmtId="165" fontId="27" fillId="0" borderId="0" xfId="0" applyFont="1" applyAlignment="1">
      <alignment horizontal="left" vertical="center" wrapText="1"/>
    </xf>
    <xf numFmtId="165" fontId="15" fillId="0" borderId="0" xfId="0" applyFont="1" applyAlignment="1">
      <alignment horizontal="center"/>
    </xf>
    <xf numFmtId="14" fontId="3" fillId="0" borderId="0" xfId="1" applyNumberFormat="1" applyFont="1"/>
    <xf numFmtId="41" fontId="4" fillId="0" borderId="18" xfId="1" applyNumberFormat="1" applyFont="1" applyFill="1" applyBorder="1"/>
    <xf numFmtId="0" fontId="63" fillId="0" borderId="0" xfId="1" applyNumberFormat="1" applyFont="1" applyFill="1"/>
    <xf numFmtId="167" fontId="3" fillId="0" borderId="16" xfId="1" applyNumberFormat="1" applyFont="1" applyBorder="1"/>
    <xf numFmtId="0" fontId="0" fillId="0" borderId="0" xfId="0" applyNumberFormat="1" applyFill="1" applyBorder="1" applyAlignment="1">
      <alignment horizontal="center" vertical="center"/>
    </xf>
    <xf numFmtId="0" fontId="2" fillId="0" borderId="38" xfId="0" applyNumberFormat="1" applyFont="1" applyBorder="1" applyAlignment="1">
      <alignment horizontal="center"/>
    </xf>
    <xf numFmtId="0" fontId="34" fillId="0" borderId="0" xfId="0" applyNumberFormat="1" applyFont="1" applyFill="1" applyBorder="1" applyAlignment="1">
      <alignment horizontal="center"/>
    </xf>
    <xf numFmtId="0" fontId="34" fillId="0" borderId="38" xfId="0" applyNumberFormat="1" applyFont="1" applyFill="1" applyBorder="1" applyAlignment="1">
      <alignment horizontal="center"/>
    </xf>
    <xf numFmtId="0" fontId="0" fillId="0" borderId="38" xfId="0" applyNumberFormat="1" applyFill="1" applyBorder="1" applyAlignment="1">
      <alignment horizontal="center" vertical="center"/>
    </xf>
    <xf numFmtId="165" fontId="0" fillId="4" borderId="26" xfId="0" applyFill="1" applyBorder="1"/>
    <xf numFmtId="165" fontId="2" fillId="4" borderId="40" xfId="0" applyFont="1" applyFill="1" applyBorder="1"/>
    <xf numFmtId="165" fontId="0" fillId="4" borderId="0" xfId="0" quotePrefix="1" applyFill="1"/>
    <xf numFmtId="44" fontId="0" fillId="0" borderId="0" xfId="1" applyNumberFormat="1" applyFont="1"/>
    <xf numFmtId="43" fontId="0" fillId="0" borderId="0" xfId="1" applyNumberFormat="1" applyFont="1"/>
    <xf numFmtId="165" fontId="2" fillId="4" borderId="0" xfId="0" applyFont="1" applyFill="1" applyAlignment="1">
      <alignment horizontal="left"/>
    </xf>
    <xf numFmtId="0" fontId="52" fillId="0" borderId="0" xfId="0" applyNumberFormat="1" applyFont="1" applyFill="1"/>
    <xf numFmtId="165" fontId="46" fillId="0" borderId="0" xfId="0" applyFont="1" applyFill="1"/>
    <xf numFmtId="43" fontId="3" fillId="0" borderId="11" xfId="1" quotePrefix="1" applyFont="1" applyFill="1" applyBorder="1"/>
    <xf numFmtId="43" fontId="3" fillId="0" borderId="12" xfId="1" quotePrefix="1" applyFont="1" applyFill="1" applyBorder="1"/>
    <xf numFmtId="43" fontId="4" fillId="0" borderId="40" xfId="1" applyFont="1" applyFill="1" applyBorder="1"/>
    <xf numFmtId="41" fontId="4" fillId="0" borderId="40" xfId="0" applyNumberFormat="1" applyFont="1" applyFill="1" applyBorder="1"/>
    <xf numFmtId="41" fontId="4" fillId="0" borderId="18" xfId="0" applyNumberFormat="1" applyFont="1" applyBorder="1"/>
    <xf numFmtId="43" fontId="3" fillId="0" borderId="64" xfId="1" applyFont="1" applyFill="1" applyBorder="1"/>
    <xf numFmtId="41" fontId="3" fillId="0" borderId="64" xfId="0" applyNumberFormat="1" applyFont="1" applyFill="1" applyBorder="1"/>
    <xf numFmtId="43" fontId="3" fillId="0" borderId="64" xfId="1" applyFont="1" applyBorder="1"/>
    <xf numFmtId="41" fontId="3" fillId="0" borderId="64" xfId="0" applyNumberFormat="1" applyFont="1" applyBorder="1"/>
    <xf numFmtId="43" fontId="4" fillId="0" borderId="18" xfId="1" applyFont="1" applyBorder="1"/>
    <xf numFmtId="41" fontId="50" fillId="0" borderId="0" xfId="3" applyNumberFormat="1" applyFont="1"/>
    <xf numFmtId="41" fontId="50" fillId="0" borderId="26" xfId="0" applyNumberFormat="1" applyFont="1" applyBorder="1"/>
    <xf numFmtId="14" fontId="46" fillId="0" borderId="8" xfId="0" applyNumberFormat="1" applyFont="1" applyBorder="1"/>
    <xf numFmtId="14" fontId="46" fillId="0" borderId="11" xfId="0" applyNumberFormat="1" applyFont="1" applyBorder="1"/>
    <xf numFmtId="14" fontId="46" fillId="5" borderId="11" xfId="0" applyNumberFormat="1" applyFont="1" applyFill="1" applyBorder="1"/>
    <xf numFmtId="14" fontId="46" fillId="5" borderId="8" xfId="0" applyNumberFormat="1" applyFont="1" applyFill="1" applyBorder="1"/>
    <xf numFmtId="14" fontId="46" fillId="0" borderId="16" xfId="0" applyNumberFormat="1" applyFont="1" applyBorder="1"/>
    <xf numFmtId="14" fontId="46" fillId="0" borderId="0" xfId="0" applyNumberFormat="1" applyFont="1"/>
    <xf numFmtId="14" fontId="46" fillId="0" borderId="18" xfId="0" applyNumberFormat="1" applyFont="1" applyBorder="1"/>
    <xf numFmtId="43" fontId="0" fillId="0" borderId="18" xfId="1" applyFont="1" applyBorder="1"/>
    <xf numFmtId="43" fontId="9" fillId="0" borderId="18" xfId="1" applyFont="1" applyBorder="1"/>
    <xf numFmtId="14" fontId="46" fillId="0" borderId="0" xfId="0" applyNumberFormat="1" applyFont="1" applyAlignment="1">
      <alignment horizontal="left"/>
    </xf>
    <xf numFmtId="49" fontId="46" fillId="0" borderId="0" xfId="0" applyNumberFormat="1" applyFont="1"/>
    <xf numFmtId="169" fontId="0" fillId="0" borderId="0" xfId="0" applyNumberFormat="1" applyAlignment="1">
      <alignment horizontal="left"/>
    </xf>
    <xf numFmtId="14" fontId="46" fillId="0" borderId="11" xfId="0" applyNumberFormat="1" applyFont="1" applyBorder="1" applyAlignment="1">
      <alignment horizontal="left"/>
    </xf>
    <xf numFmtId="49" fontId="46" fillId="0" borderId="11" xfId="0" applyNumberFormat="1" applyFont="1" applyBorder="1"/>
    <xf numFmtId="14" fontId="46" fillId="0" borderId="0" xfId="1" applyNumberFormat="1" applyFont="1"/>
    <xf numFmtId="169" fontId="3" fillId="0" borderId="0" xfId="0" applyNumberFormat="1" applyFont="1" applyBorder="1" applyAlignment="1">
      <alignment horizontal="left"/>
    </xf>
    <xf numFmtId="169" fontId="0" fillId="0" borderId="0" xfId="1" applyNumberFormat="1" applyFont="1" applyAlignment="1">
      <alignment horizontal="left"/>
    </xf>
    <xf numFmtId="169" fontId="3" fillId="0" borderId="0" xfId="1" applyNumberFormat="1" applyFont="1" applyAlignment="1">
      <alignment horizontal="left"/>
    </xf>
    <xf numFmtId="43" fontId="3" fillId="0" borderId="11" xfId="0" applyNumberFormat="1" applyFont="1" applyFill="1" applyBorder="1"/>
    <xf numFmtId="43" fontId="9" fillId="8" borderId="0" xfId="1" applyFont="1" applyFill="1"/>
    <xf numFmtId="0" fontId="4" fillId="8" borderId="32" xfId="1" applyNumberFormat="1" applyFont="1" applyFill="1" applyBorder="1"/>
    <xf numFmtId="43" fontId="4" fillId="8" borderId="16" xfId="1" applyFont="1" applyFill="1" applyBorder="1" applyAlignment="1">
      <alignment horizontal="center"/>
    </xf>
    <xf numFmtId="0" fontId="3" fillId="8" borderId="11" xfId="1" applyNumberFormat="1" applyFont="1" applyFill="1" applyBorder="1"/>
    <xf numFmtId="165" fontId="3" fillId="8" borderId="38" xfId="0" applyFont="1" applyFill="1" applyBorder="1" applyAlignment="1">
      <alignment horizontal="center"/>
    </xf>
    <xf numFmtId="14" fontId="4" fillId="8" borderId="5" xfId="1" applyNumberFormat="1" applyFont="1" applyFill="1" applyBorder="1" applyAlignment="1">
      <alignment horizontal="center"/>
    </xf>
    <xf numFmtId="43" fontId="9" fillId="8" borderId="11" xfId="1" applyFont="1" applyFill="1" applyBorder="1"/>
    <xf numFmtId="167" fontId="3" fillId="8" borderId="0" xfId="1" applyNumberFormat="1" applyFont="1" applyFill="1"/>
    <xf numFmtId="9" fontId="0" fillId="12" borderId="26" xfId="3" applyFont="1" applyFill="1" applyBorder="1"/>
    <xf numFmtId="9" fontId="0" fillId="12" borderId="0" xfId="3" applyFont="1" applyFill="1"/>
    <xf numFmtId="168" fontId="0" fillId="12" borderId="0" xfId="3" applyNumberFormat="1" applyFont="1" applyFill="1"/>
    <xf numFmtId="167" fontId="0" fillId="4" borderId="0" xfId="1" applyNumberFormat="1" applyFont="1" applyFill="1"/>
    <xf numFmtId="167" fontId="3" fillId="0" borderId="16" xfId="1" applyNumberFormat="1" applyFont="1" applyFill="1" applyBorder="1"/>
    <xf numFmtId="43" fontId="47" fillId="0" borderId="11" xfId="1" applyFont="1" applyBorder="1"/>
    <xf numFmtId="43" fontId="46" fillId="0" borderId="0" xfId="1" applyFont="1"/>
    <xf numFmtId="14" fontId="60" fillId="0" borderId="0" xfId="2" applyNumberFormat="1" applyFont="1" applyAlignment="1" applyProtection="1"/>
    <xf numFmtId="14" fontId="46" fillId="0" borderId="0" xfId="0" applyNumberFormat="1" applyFont="1" applyBorder="1"/>
    <xf numFmtId="0" fontId="46" fillId="0" borderId="0" xfId="0" applyNumberFormat="1" applyFont="1" applyBorder="1"/>
    <xf numFmtId="0" fontId="46" fillId="0" borderId="0" xfId="0" applyNumberFormat="1" applyFont="1" applyFill="1" applyBorder="1"/>
    <xf numFmtId="16" fontId="46" fillId="0" borderId="0" xfId="0" applyNumberFormat="1" applyFont="1" applyFill="1" applyBorder="1"/>
    <xf numFmtId="14" fontId="46" fillId="0" borderId="0" xfId="0" applyNumberFormat="1" applyFont="1" applyFill="1" applyBorder="1"/>
    <xf numFmtId="10" fontId="46" fillId="0" borderId="0" xfId="0" applyNumberFormat="1" applyFont="1"/>
    <xf numFmtId="14" fontId="46" fillId="0" borderId="0" xfId="0" applyNumberFormat="1" applyFont="1" applyAlignment="1">
      <alignment horizontal="right"/>
    </xf>
    <xf numFmtId="41" fontId="46" fillId="0" borderId="0" xfId="1" applyNumberFormat="1" applyFont="1" applyBorder="1"/>
    <xf numFmtId="41" fontId="0" fillId="0" borderId="0" xfId="1" applyNumberFormat="1" applyFont="1" applyFill="1"/>
    <xf numFmtId="167" fontId="0" fillId="0" borderId="28" xfId="1" applyNumberFormat="1" applyFont="1" applyFill="1" applyBorder="1"/>
    <xf numFmtId="41" fontId="66" fillId="0" borderId="0" xfId="0" applyNumberFormat="1" applyFont="1" applyFill="1"/>
    <xf numFmtId="0" fontId="4" fillId="0" borderId="0" xfId="0" applyNumberFormat="1" applyFont="1" applyFill="1"/>
    <xf numFmtId="0" fontId="4" fillId="0" borderId="0" xfId="0" applyNumberFormat="1" applyFont="1" applyFill="1" applyBorder="1"/>
    <xf numFmtId="41" fontId="3" fillId="0" borderId="65" xfId="0" applyNumberFormat="1" applyFont="1" applyBorder="1"/>
    <xf numFmtId="43" fontId="3" fillId="0" borderId="65" xfId="1" applyFont="1" applyBorder="1"/>
    <xf numFmtId="167" fontId="0" fillId="0" borderId="0" xfId="1" applyNumberFormat="1" applyFont="1" applyFill="1"/>
    <xf numFmtId="43" fontId="46" fillId="8" borderId="66" xfId="1" applyFont="1" applyFill="1" applyBorder="1"/>
    <xf numFmtId="43" fontId="46" fillId="8" borderId="0" xfId="1" applyFont="1" applyFill="1"/>
    <xf numFmtId="41" fontId="46" fillId="8" borderId="10" xfId="0" quotePrefix="1" applyNumberFormat="1" applyFont="1" applyFill="1" applyBorder="1" applyAlignment="1">
      <alignment horizontal="left"/>
    </xf>
    <xf numFmtId="41" fontId="46" fillId="8" borderId="10" xfId="0" applyNumberFormat="1" applyFont="1" applyFill="1" applyBorder="1" applyAlignment="1">
      <alignment horizontal="left"/>
    </xf>
    <xf numFmtId="16" fontId="46" fillId="0" borderId="0" xfId="0" applyNumberFormat="1" applyFont="1"/>
    <xf numFmtId="167" fontId="39" fillId="0" borderId="0" xfId="1" applyNumberFormat="1" applyFont="1" applyBorder="1" applyAlignment="1" applyProtection="1"/>
    <xf numFmtId="167" fontId="39" fillId="0" borderId="0" xfId="1" applyNumberFormat="1" applyFont="1"/>
    <xf numFmtId="43" fontId="39" fillId="0" borderId="0" xfId="1" applyFont="1" applyBorder="1" applyAlignment="1" applyProtection="1"/>
    <xf numFmtId="4" fontId="67" fillId="0" borderId="0" xfId="0" applyNumberFormat="1" applyFont="1"/>
    <xf numFmtId="41" fontId="46" fillId="0" borderId="11" xfId="0" applyNumberFormat="1" applyFont="1" applyFill="1" applyBorder="1"/>
    <xf numFmtId="43" fontId="46" fillId="0" borderId="11" xfId="1" applyFont="1" applyBorder="1"/>
    <xf numFmtId="165" fontId="46" fillId="0" borderId="11" xfId="0" applyFont="1" applyFill="1" applyBorder="1"/>
    <xf numFmtId="43" fontId="46" fillId="0" borderId="18" xfId="1" applyFont="1" applyBorder="1"/>
    <xf numFmtId="43" fontId="46" fillId="0" borderId="0" xfId="0" applyNumberFormat="1" applyFont="1"/>
    <xf numFmtId="43" fontId="46" fillId="8" borderId="10" xfId="1" applyFont="1" applyFill="1" applyBorder="1"/>
    <xf numFmtId="165" fontId="39" fillId="18" borderId="20" xfId="0" applyFont="1" applyFill="1" applyBorder="1" applyAlignment="1">
      <alignment horizontal="left"/>
    </xf>
    <xf numFmtId="164" fontId="39" fillId="18" borderId="10" xfId="0" applyNumberFormat="1" applyFont="1" applyFill="1" applyBorder="1"/>
    <xf numFmtId="165" fontId="39" fillId="18" borderId="10" xfId="0" applyFont="1" applyFill="1" applyBorder="1"/>
    <xf numFmtId="165" fontId="39" fillId="18" borderId="40" xfId="0" applyFont="1" applyFill="1" applyBorder="1"/>
    <xf numFmtId="165" fontId="39" fillId="18" borderId="11" xfId="0" applyFont="1" applyFill="1" applyBorder="1"/>
    <xf numFmtId="43" fontId="39" fillId="18" borderId="11" xfId="1" applyFont="1" applyFill="1" applyBorder="1" applyAlignment="1" applyProtection="1"/>
    <xf numFmtId="167" fontId="29" fillId="0" borderId="0" xfId="1" applyNumberFormat="1" applyFont="1"/>
    <xf numFmtId="43" fontId="50" fillId="0" borderId="0" xfId="1" applyFont="1"/>
    <xf numFmtId="170" fontId="50" fillId="0" borderId="0" xfId="1" applyNumberFormat="1" applyFont="1"/>
    <xf numFmtId="43" fontId="50" fillId="0" borderId="0" xfId="1" applyFont="1" applyFill="1" applyBorder="1"/>
    <xf numFmtId="173" fontId="0" fillId="0" borderId="0" xfId="3" applyNumberFormat="1" applyFont="1"/>
    <xf numFmtId="41" fontId="0" fillId="0" borderId="0" xfId="3" applyNumberFormat="1" applyFont="1"/>
    <xf numFmtId="165" fontId="50" fillId="0" borderId="0" xfId="0" applyFont="1" applyBorder="1"/>
    <xf numFmtId="171" fontId="50" fillId="0" borderId="0" xfId="3" applyNumberFormat="1" applyFont="1" applyBorder="1"/>
    <xf numFmtId="43" fontId="50" fillId="0" borderId="0" xfId="1" applyFont="1" applyBorder="1"/>
    <xf numFmtId="172" fontId="50" fillId="0" borderId="0" xfId="1" applyNumberFormat="1" applyFont="1" applyBorder="1"/>
    <xf numFmtId="170" fontId="50" fillId="0" borderId="0" xfId="1" applyNumberFormat="1" applyFont="1" applyBorder="1"/>
    <xf numFmtId="167" fontId="54" fillId="0" borderId="0" xfId="1" applyNumberFormat="1" applyFont="1" applyFill="1" applyBorder="1"/>
    <xf numFmtId="165" fontId="50" fillId="0" borderId="0" xfId="0" applyFont="1" applyAlignment="1">
      <alignment horizontal="left" vertical="center" wrapText="1"/>
    </xf>
    <xf numFmtId="165" fontId="0" fillId="0" borderId="0" xfId="0" applyAlignment="1">
      <alignment vertical="center"/>
    </xf>
    <xf numFmtId="167" fontId="69" fillId="0" borderId="0" xfId="1" applyNumberFormat="1" applyFont="1" applyFill="1" applyBorder="1" applyAlignment="1">
      <alignment vertical="center"/>
    </xf>
    <xf numFmtId="41" fontId="50" fillId="0" borderId="0" xfId="1" applyNumberFormat="1" applyFont="1" applyFill="1" applyAlignment="1">
      <alignment vertical="center"/>
    </xf>
    <xf numFmtId="41" fontId="50" fillId="0" borderId="0" xfId="1" applyNumberFormat="1" applyFont="1" applyFill="1" applyBorder="1" applyAlignment="1">
      <alignment vertical="center"/>
    </xf>
    <xf numFmtId="165" fontId="4" fillId="8" borderId="59" xfId="0" applyFont="1" applyFill="1" applyBorder="1" applyAlignment="1">
      <alignment horizontal="center"/>
    </xf>
    <xf numFmtId="41" fontId="3" fillId="8" borderId="28" xfId="0" applyNumberFormat="1" applyFont="1" applyFill="1" applyBorder="1"/>
    <xf numFmtId="165" fontId="4" fillId="8" borderId="0" xfId="0" applyFont="1" applyFill="1" applyBorder="1" applyAlignment="1">
      <alignment horizontal="center"/>
    </xf>
    <xf numFmtId="165" fontId="68" fillId="0" borderId="0" xfId="0" applyFont="1" applyBorder="1" applyAlignment="1">
      <alignment vertical="center"/>
    </xf>
    <xf numFmtId="167" fontId="68" fillId="0" borderId="0" xfId="1" applyNumberFormat="1" applyFont="1" applyFill="1" applyBorder="1" applyAlignment="1">
      <alignment horizontal="center" vertical="center"/>
    </xf>
    <xf numFmtId="167" fontId="68" fillId="0" borderId="0" xfId="1" applyNumberFormat="1" applyFont="1" applyFill="1" applyBorder="1" applyAlignment="1">
      <alignment vertical="center"/>
    </xf>
    <xf numFmtId="165" fontId="50" fillId="4" borderId="0" xfId="0" applyFont="1" applyFill="1"/>
    <xf numFmtId="43" fontId="2" fillId="9" borderId="0" xfId="1" applyFont="1" applyFill="1"/>
    <xf numFmtId="41" fontId="50" fillId="4" borderId="0" xfId="1" applyNumberFormat="1" applyFont="1" applyFill="1"/>
    <xf numFmtId="165" fontId="50" fillId="0" borderId="0" xfId="0" applyFont="1" applyBorder="1" applyAlignment="1">
      <alignment vertical="center"/>
    </xf>
    <xf numFmtId="165" fontId="68" fillId="0" borderId="0" xfId="0" applyFont="1" applyBorder="1" applyAlignment="1">
      <alignment horizontal="center" vertical="center"/>
    </xf>
    <xf numFmtId="165" fontId="69" fillId="0" borderId="0" xfId="0" applyFont="1" applyBorder="1" applyAlignment="1">
      <alignment horizontal="right" vertical="center"/>
    </xf>
    <xf numFmtId="165" fontId="69" fillId="0" borderId="0" xfId="0" applyFont="1" applyBorder="1" applyAlignment="1">
      <alignment vertical="center"/>
    </xf>
    <xf numFmtId="41" fontId="69" fillId="0" borderId="0" xfId="0" applyNumberFormat="1" applyFont="1" applyBorder="1" applyAlignment="1">
      <alignment vertical="center"/>
    </xf>
    <xf numFmtId="14" fontId="29" fillId="0" borderId="20" xfId="0" applyNumberFormat="1" applyFont="1" applyBorder="1"/>
    <xf numFmtId="165" fontId="65" fillId="0" borderId="0" xfId="0" applyFont="1" applyFill="1"/>
    <xf numFmtId="167" fontId="3" fillId="17" borderId="0" xfId="1" applyNumberFormat="1" applyFont="1" applyFill="1"/>
    <xf numFmtId="167" fontId="3" fillId="17" borderId="0" xfId="1" applyNumberFormat="1" applyFont="1" applyFill="1" applyBorder="1"/>
    <xf numFmtId="167" fontId="30" fillId="17" borderId="0" xfId="1" applyNumberFormat="1" applyFont="1" applyFill="1" applyBorder="1"/>
    <xf numFmtId="0" fontId="0" fillId="0" borderId="28" xfId="0" applyNumberFormat="1" applyBorder="1" applyAlignment="1">
      <alignment horizontal="center"/>
    </xf>
    <xf numFmtId="165" fontId="53" fillId="0" borderId="0" xfId="0" applyFont="1" applyFill="1" applyBorder="1"/>
    <xf numFmtId="41" fontId="50" fillId="4" borderId="0" xfId="0" applyNumberFormat="1" applyFont="1" applyFill="1"/>
    <xf numFmtId="165" fontId="50" fillId="19" borderId="0" xfId="0" applyFont="1" applyFill="1"/>
    <xf numFmtId="165" fontId="50" fillId="0" borderId="0" xfId="0" applyFont="1" applyAlignment="1">
      <alignment wrapText="1"/>
    </xf>
    <xf numFmtId="165" fontId="50" fillId="0" borderId="0" xfId="0" applyFont="1" applyAlignment="1">
      <alignment vertical="center" wrapText="1"/>
    </xf>
    <xf numFmtId="167" fontId="29" fillId="0" borderId="26" xfId="1" applyNumberFormat="1" applyFont="1" applyBorder="1"/>
    <xf numFmtId="14" fontId="4" fillId="0" borderId="20" xfId="0" applyNumberFormat="1" applyFont="1" applyFill="1" applyBorder="1" applyAlignment="1">
      <alignment horizontal="center"/>
    </xf>
    <xf numFmtId="41" fontId="4" fillId="0" borderId="0" xfId="0" applyNumberFormat="1" applyFont="1" applyFill="1" applyBorder="1"/>
    <xf numFmtId="165" fontId="6" fillId="0" borderId="0" xfId="0" applyFont="1" applyFill="1" applyBorder="1"/>
    <xf numFmtId="165" fontId="53" fillId="4" borderId="0" xfId="0" applyFont="1" applyFill="1"/>
    <xf numFmtId="165" fontId="70" fillId="4" borderId="0" xfId="0" applyFont="1" applyFill="1"/>
    <xf numFmtId="167" fontId="50" fillId="4" borderId="0" xfId="1" applyNumberFormat="1" applyFont="1" applyFill="1"/>
    <xf numFmtId="165" fontId="29" fillId="0" borderId="28" xfId="1" applyNumberFormat="1" applyFont="1" applyFill="1" applyBorder="1"/>
    <xf numFmtId="165" fontId="55" fillId="4" borderId="0" xfId="0" applyFont="1" applyFill="1"/>
    <xf numFmtId="165" fontId="64" fillId="0" borderId="0" xfId="0" applyFont="1" applyFill="1"/>
    <xf numFmtId="165" fontId="53" fillId="0" borderId="0" xfId="0" applyFont="1" applyFill="1"/>
    <xf numFmtId="10" fontId="29" fillId="0" borderId="0" xfId="3" applyNumberFormat="1" applyFont="1"/>
    <xf numFmtId="10" fontId="47" fillId="0" borderId="0" xfId="3" applyNumberFormat="1" applyFont="1"/>
    <xf numFmtId="43" fontId="47" fillId="0" borderId="11" xfId="1" applyFont="1" applyFill="1" applyBorder="1"/>
    <xf numFmtId="43" fontId="4" fillId="0" borderId="18" xfId="1" applyFont="1" applyFill="1" applyBorder="1"/>
    <xf numFmtId="43" fontId="4" fillId="0" borderId="16" xfId="1" applyFont="1" applyFill="1" applyBorder="1"/>
    <xf numFmtId="43" fontId="4" fillId="0" borderId="8" xfId="1" applyFont="1" applyFill="1" applyBorder="1"/>
    <xf numFmtId="43" fontId="4" fillId="0" borderId="11" xfId="1" applyFont="1" applyFill="1" applyBorder="1"/>
    <xf numFmtId="165" fontId="27" fillId="0" borderId="0" xfId="0" applyFont="1" applyAlignment="1">
      <alignment horizontal="left" vertical="center" wrapText="1"/>
    </xf>
    <xf numFmtId="165" fontId="15" fillId="0" borderId="28" xfId="0" applyFont="1" applyBorder="1" applyAlignment="1">
      <alignment horizontal="center"/>
    </xf>
    <xf numFmtId="165" fontId="15" fillId="4" borderId="0" xfId="0" applyFont="1" applyFill="1" applyAlignment="1">
      <alignment horizontal="center"/>
    </xf>
    <xf numFmtId="165" fontId="51" fillId="0" borderId="0" xfId="0" applyFont="1" applyBorder="1" applyAlignment="1">
      <alignment horizontal="center" vertical="center"/>
    </xf>
    <xf numFmtId="165" fontId="68" fillId="0" borderId="0" xfId="0" applyFont="1" applyBorder="1" applyAlignment="1">
      <alignment horizontal="center" vertical="center"/>
    </xf>
    <xf numFmtId="165" fontId="15" fillId="0" borderId="0" xfId="0" applyFont="1" applyAlignment="1">
      <alignment horizontal="center"/>
    </xf>
    <xf numFmtId="165" fontId="23" fillId="0" borderId="28" xfId="0" applyFont="1" applyFill="1" applyBorder="1" applyAlignment="1">
      <alignment horizontal="center"/>
    </xf>
    <xf numFmtId="165" fontId="23" fillId="0" borderId="0" xfId="0" applyFont="1" applyFill="1" applyBorder="1" applyAlignment="1">
      <alignment horizontal="center"/>
    </xf>
    <xf numFmtId="165" fontId="3" fillId="0" borderId="0" xfId="0" applyFont="1" applyAlignment="1">
      <alignment horizontal="center"/>
    </xf>
  </cellXfs>
  <cellStyles count="6">
    <cellStyle name="Comma" xfId="1" builtinId="3"/>
    <cellStyle name="Comma 2" xfId="5" xr:uid="{00000000-0005-0000-0000-000001000000}"/>
    <cellStyle name="Hyperlink" xfId="2" builtinId="8"/>
    <cellStyle name="Normal" xfId="0" builtinId="0"/>
    <cellStyle name="Normal 2 2" xfId="4" xr:uid="{00000000-0005-0000-0000-000004000000}"/>
    <cellStyle name="Percent" xfId="3" builtinId="5"/>
  </cellStyles>
  <dxfs count="0"/>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ustomXml" Target="../customXml/item2.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75"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K163"/>
  <sheetViews>
    <sheetView workbookViewId="0">
      <selection activeCell="A7" sqref="A7:XFD14"/>
    </sheetView>
  </sheetViews>
  <sheetFormatPr defaultRowHeight="13.2" x14ac:dyDescent="0.25"/>
  <cols>
    <col min="1" max="1" width="8.77734375" style="746"/>
    <col min="2" max="2" width="12" style="1026" customWidth="1"/>
    <col min="3" max="3" width="31.77734375" style="746" customWidth="1"/>
    <col min="4" max="4" width="11.44140625" style="746" customWidth="1"/>
    <col min="5" max="6" width="8.77734375" style="746"/>
    <col min="7" max="7" width="10.44140625" style="746" bestFit="1" customWidth="1"/>
    <col min="8" max="8" width="11" style="746" customWidth="1"/>
    <col min="9" max="9" width="13" style="746" bestFit="1" customWidth="1"/>
    <col min="10" max="10" width="12" style="746" customWidth="1"/>
    <col min="11" max="11" width="11.77734375" customWidth="1"/>
    <col min="12" max="12" width="10.44140625" bestFit="1" customWidth="1"/>
  </cols>
  <sheetData>
    <row r="1" spans="2:11" x14ac:dyDescent="0.25">
      <c r="B1" s="1055" t="s">
        <v>1348</v>
      </c>
    </row>
    <row r="2" spans="2:11" x14ac:dyDescent="0.25">
      <c r="C2" s="1026"/>
      <c r="D2" s="1054"/>
    </row>
    <row r="3" spans="2:11" x14ac:dyDescent="0.25">
      <c r="C3" s="1026"/>
      <c r="D3" s="1054"/>
    </row>
    <row r="4" spans="2:11" x14ac:dyDescent="0.25">
      <c r="C4" s="1026"/>
      <c r="D4" s="1054"/>
    </row>
    <row r="5" spans="2:11" x14ac:dyDescent="0.25">
      <c r="C5" s="1026"/>
      <c r="D5" s="1054"/>
    </row>
    <row r="7" spans="2:11" x14ac:dyDescent="0.25">
      <c r="C7" s="1008" t="s">
        <v>1299</v>
      </c>
      <c r="D7" s="1008"/>
      <c r="E7" s="1008"/>
    </row>
    <row r="8" spans="2:11" x14ac:dyDescent="0.25">
      <c r="C8" s="1008"/>
      <c r="D8" s="824" t="s">
        <v>1588</v>
      </c>
      <c r="E8" s="824"/>
      <c r="G8" s="746" t="s">
        <v>1297</v>
      </c>
      <c r="H8" s="746" t="s">
        <v>637</v>
      </c>
      <c r="I8" s="746" t="s">
        <v>1086</v>
      </c>
    </row>
    <row r="9" spans="2:11" x14ac:dyDescent="0.25">
      <c r="B9" s="1056"/>
      <c r="C9" s="1008"/>
      <c r="D9" s="824" t="s">
        <v>1589</v>
      </c>
      <c r="E9" s="824"/>
      <c r="F9" s="749"/>
      <c r="G9" s="1057">
        <v>0</v>
      </c>
      <c r="H9" s="1057">
        <v>0</v>
      </c>
      <c r="I9" s="1057">
        <v>0.2</v>
      </c>
      <c r="J9" s="749"/>
      <c r="K9" s="94"/>
    </row>
    <row r="10" spans="2:11" x14ac:dyDescent="0.25">
      <c r="B10" s="1056"/>
      <c r="C10" s="1008"/>
      <c r="D10" s="824" t="s">
        <v>1590</v>
      </c>
      <c r="E10" s="824"/>
      <c r="F10" s="749"/>
      <c r="G10" s="1057">
        <v>35</v>
      </c>
      <c r="H10" s="1057">
        <v>40</v>
      </c>
      <c r="I10" s="1057">
        <v>1</v>
      </c>
      <c r="J10" s="749"/>
      <c r="K10" s="94"/>
    </row>
    <row r="11" spans="2:11" x14ac:dyDescent="0.25">
      <c r="B11" s="1056"/>
      <c r="C11" s="1008"/>
      <c r="D11" s="824" t="s">
        <v>1298</v>
      </c>
      <c r="E11" s="824"/>
      <c r="F11" s="749"/>
      <c r="G11" s="749"/>
      <c r="H11" s="749"/>
      <c r="I11" s="749"/>
      <c r="J11" s="749"/>
      <c r="K11" s="94"/>
    </row>
    <row r="12" spans="2:11" x14ac:dyDescent="0.25">
      <c r="B12" s="1056"/>
      <c r="C12" s="1008"/>
      <c r="D12" s="824" t="s">
        <v>1591</v>
      </c>
      <c r="E12" s="824"/>
      <c r="F12" s="749"/>
      <c r="G12" s="749"/>
      <c r="H12" s="749"/>
      <c r="I12" s="749"/>
      <c r="J12" s="749"/>
      <c r="K12" s="94"/>
    </row>
    <row r="13" spans="2:11" x14ac:dyDescent="0.25">
      <c r="B13" s="1056"/>
      <c r="C13" s="1008"/>
      <c r="D13" s="824" t="s">
        <v>337</v>
      </c>
      <c r="E13" s="1058">
        <f>(35*52)+7</f>
        <v>1827</v>
      </c>
      <c r="F13" s="749"/>
      <c r="G13" s="749"/>
      <c r="H13" s="749"/>
      <c r="I13" s="749"/>
      <c r="J13" s="749"/>
      <c r="K13" s="94"/>
    </row>
    <row r="14" spans="2:11" x14ac:dyDescent="0.25">
      <c r="B14" s="1056"/>
      <c r="C14" s="1008"/>
      <c r="D14" s="824" t="s">
        <v>79</v>
      </c>
      <c r="E14" s="1058">
        <f>52*35</f>
        <v>1820</v>
      </c>
      <c r="F14" s="749"/>
      <c r="G14" s="749"/>
      <c r="H14" s="749"/>
      <c r="I14" s="749"/>
      <c r="J14" s="749"/>
      <c r="K14" s="94"/>
    </row>
    <row r="15" spans="2:11" x14ac:dyDescent="0.25">
      <c r="B15" s="1056"/>
      <c r="C15" s="1008"/>
      <c r="D15" s="824" t="s">
        <v>338</v>
      </c>
      <c r="E15" s="1058">
        <f>(40*52)+8</f>
        <v>2088</v>
      </c>
      <c r="F15" s="749"/>
      <c r="G15" s="749"/>
      <c r="H15" s="749"/>
      <c r="I15" s="749"/>
      <c r="J15" s="749"/>
      <c r="K15" s="94"/>
    </row>
    <row r="16" spans="2:11" x14ac:dyDescent="0.25">
      <c r="B16" s="1056"/>
      <c r="C16" s="1008"/>
      <c r="D16" s="824" t="s">
        <v>80</v>
      </c>
      <c r="E16" s="1058">
        <f>(40*52)</f>
        <v>2080</v>
      </c>
      <c r="F16" s="749"/>
      <c r="G16" s="749"/>
      <c r="H16" s="749"/>
      <c r="I16" s="749"/>
      <c r="J16" s="749"/>
      <c r="K16" s="94"/>
    </row>
    <row r="17" spans="2:11" x14ac:dyDescent="0.25">
      <c r="B17" s="1056"/>
      <c r="C17" s="1008"/>
      <c r="D17" s="824" t="s">
        <v>339</v>
      </c>
      <c r="E17" s="1058" t="s">
        <v>788</v>
      </c>
      <c r="F17" s="749"/>
      <c r="G17" s="749"/>
      <c r="H17" s="749"/>
      <c r="I17" s="749"/>
      <c r="J17" s="749"/>
      <c r="K17" s="94"/>
    </row>
    <row r="18" spans="2:11" x14ac:dyDescent="0.25">
      <c r="B18" s="1056"/>
      <c r="C18" s="1008"/>
      <c r="D18" s="824" t="s">
        <v>340</v>
      </c>
      <c r="E18" s="1058">
        <v>1975</v>
      </c>
      <c r="F18" s="749" t="s">
        <v>1016</v>
      </c>
      <c r="G18" s="749"/>
      <c r="H18" s="749"/>
      <c r="I18" s="749"/>
      <c r="J18" s="749"/>
      <c r="K18" s="94"/>
    </row>
    <row r="19" spans="2:11" x14ac:dyDescent="0.25">
      <c r="B19" s="1056"/>
      <c r="C19" s="1008"/>
      <c r="D19" s="824"/>
      <c r="E19" s="824"/>
      <c r="F19" s="749"/>
      <c r="G19" s="749"/>
      <c r="H19" s="749"/>
      <c r="I19" s="749"/>
      <c r="J19" s="749"/>
      <c r="K19" s="94"/>
    </row>
    <row r="20" spans="2:11" x14ac:dyDescent="0.25">
      <c r="B20" s="1060"/>
      <c r="C20" s="4"/>
      <c r="F20" s="1026"/>
    </row>
    <row r="21" spans="2:11" x14ac:dyDescent="0.25">
      <c r="B21" s="1060"/>
      <c r="C21" s="1059"/>
      <c r="F21" s="1026"/>
    </row>
    <row r="22" spans="2:11" x14ac:dyDescent="0.25">
      <c r="B22" s="1060"/>
      <c r="C22" s="1059"/>
      <c r="F22" s="1026"/>
    </row>
    <row r="23" spans="2:11" x14ac:dyDescent="0.25">
      <c r="B23" s="1056"/>
      <c r="C23" s="1059"/>
      <c r="F23" s="1026"/>
    </row>
    <row r="24" spans="2:11" x14ac:dyDescent="0.25">
      <c r="B24" s="1056"/>
      <c r="C24" s="1059"/>
      <c r="F24" s="1026"/>
    </row>
    <row r="25" spans="2:11" x14ac:dyDescent="0.25">
      <c r="B25" s="1056"/>
      <c r="C25" s="1059"/>
      <c r="F25" s="1026"/>
    </row>
    <row r="26" spans="2:11" x14ac:dyDescent="0.25">
      <c r="B26" s="1056"/>
      <c r="C26" s="1059"/>
      <c r="F26" s="1026"/>
    </row>
    <row r="27" spans="2:11" x14ac:dyDescent="0.25">
      <c r="B27" s="1056"/>
      <c r="C27" s="1059"/>
      <c r="F27" s="1026"/>
    </row>
    <row r="28" spans="2:11" x14ac:dyDescent="0.25">
      <c r="B28" s="1056"/>
      <c r="C28" s="1059"/>
      <c r="F28" s="1026"/>
    </row>
    <row r="29" spans="2:11" x14ac:dyDescent="0.25">
      <c r="B29" s="1056"/>
      <c r="C29" s="1059"/>
      <c r="F29" s="1026"/>
    </row>
    <row r="30" spans="2:11" x14ac:dyDescent="0.25">
      <c r="B30" s="1056"/>
      <c r="C30" s="1059"/>
      <c r="F30" s="1026"/>
    </row>
    <row r="31" spans="2:11" x14ac:dyDescent="0.25">
      <c r="B31" s="1056"/>
      <c r="C31" s="1059"/>
      <c r="F31" s="1026"/>
    </row>
    <row r="32" spans="2:11" x14ac:dyDescent="0.25">
      <c r="B32" s="1056"/>
      <c r="C32" s="1059"/>
      <c r="F32" s="1026"/>
    </row>
    <row r="33" spans="2:6" x14ac:dyDescent="0.25">
      <c r="B33" s="1056"/>
      <c r="C33" s="1059"/>
      <c r="F33" s="1026"/>
    </row>
    <row r="34" spans="2:6" x14ac:dyDescent="0.25">
      <c r="B34" s="1056"/>
      <c r="C34" s="1059"/>
      <c r="F34" s="1026"/>
    </row>
    <row r="35" spans="2:6" x14ac:dyDescent="0.25">
      <c r="B35" s="1056"/>
      <c r="C35" s="1059"/>
      <c r="F35" s="1026"/>
    </row>
    <row r="36" spans="2:6" x14ac:dyDescent="0.25">
      <c r="B36" s="1056"/>
      <c r="C36" s="1059"/>
      <c r="F36" s="1026"/>
    </row>
    <row r="37" spans="2:6" x14ac:dyDescent="0.25">
      <c r="B37" s="1056"/>
      <c r="C37" s="1059"/>
      <c r="F37" s="1026"/>
    </row>
    <row r="38" spans="2:6" x14ac:dyDescent="0.25">
      <c r="B38" s="1056"/>
      <c r="C38" s="1059"/>
      <c r="F38" s="1026"/>
    </row>
    <row r="39" spans="2:6" x14ac:dyDescent="0.25">
      <c r="B39" s="1056"/>
      <c r="C39" s="1059"/>
      <c r="F39" s="1026"/>
    </row>
    <row r="40" spans="2:6" x14ac:dyDescent="0.25">
      <c r="B40" s="1056"/>
      <c r="C40" s="1059"/>
      <c r="F40" s="1026"/>
    </row>
    <row r="41" spans="2:6" x14ac:dyDescent="0.25">
      <c r="B41" s="1056"/>
      <c r="C41" s="1059"/>
      <c r="F41" s="1026"/>
    </row>
    <row r="42" spans="2:6" x14ac:dyDescent="0.25">
      <c r="B42" s="1056"/>
      <c r="C42" s="1059"/>
      <c r="F42" s="1026"/>
    </row>
    <row r="43" spans="2:6" x14ac:dyDescent="0.25">
      <c r="B43" s="1056"/>
      <c r="C43" s="1059"/>
      <c r="F43" s="1026"/>
    </row>
    <row r="44" spans="2:6" x14ac:dyDescent="0.25">
      <c r="B44" s="1056"/>
      <c r="F44" s="1026"/>
    </row>
    <row r="45" spans="2:6" x14ac:dyDescent="0.25">
      <c r="B45" s="1056"/>
      <c r="C45" s="1059"/>
      <c r="F45" s="1026"/>
    </row>
    <row r="46" spans="2:6" x14ac:dyDescent="0.25">
      <c r="B46" s="1056"/>
      <c r="C46" s="1059"/>
      <c r="F46" s="1026"/>
    </row>
    <row r="47" spans="2:6" x14ac:dyDescent="0.25">
      <c r="B47" s="1056"/>
      <c r="C47" s="1059"/>
      <c r="F47" s="1026"/>
    </row>
    <row r="48" spans="2:6" x14ac:dyDescent="0.25">
      <c r="B48" s="1056"/>
      <c r="C48" s="1059"/>
      <c r="F48" s="1026"/>
    </row>
    <row r="49" spans="2:6" x14ac:dyDescent="0.25">
      <c r="B49" s="1056"/>
      <c r="C49" s="1059"/>
      <c r="F49" s="1026"/>
    </row>
    <row r="50" spans="2:6" x14ac:dyDescent="0.25">
      <c r="B50" s="1056"/>
      <c r="C50" s="1059"/>
      <c r="F50" s="1026"/>
    </row>
    <row r="51" spans="2:6" x14ac:dyDescent="0.25">
      <c r="B51" s="1056"/>
      <c r="C51" s="1059"/>
      <c r="F51" s="1026"/>
    </row>
    <row r="52" spans="2:6" x14ac:dyDescent="0.25">
      <c r="B52" s="1056"/>
      <c r="C52" s="1059"/>
      <c r="F52" s="1026"/>
    </row>
    <row r="53" spans="2:6" x14ac:dyDescent="0.25">
      <c r="B53" s="1056"/>
      <c r="C53" s="1059"/>
      <c r="F53" s="1026"/>
    </row>
    <row r="54" spans="2:6" x14ac:dyDescent="0.25">
      <c r="B54" s="1056"/>
      <c r="C54" s="1059"/>
      <c r="F54" s="1026"/>
    </row>
    <row r="55" spans="2:6" x14ac:dyDescent="0.25">
      <c r="B55" s="1060"/>
      <c r="C55" s="1059"/>
      <c r="F55" s="1026"/>
    </row>
    <row r="56" spans="2:6" x14ac:dyDescent="0.25">
      <c r="B56" s="1060"/>
      <c r="C56" s="1059"/>
      <c r="F56" s="1026"/>
    </row>
    <row r="57" spans="2:6" x14ac:dyDescent="0.25">
      <c r="B57" s="1056"/>
      <c r="C57" s="1059"/>
      <c r="F57" s="1026"/>
    </row>
    <row r="58" spans="2:6" x14ac:dyDescent="0.25">
      <c r="B58" s="1056"/>
      <c r="C58" s="1059"/>
      <c r="F58" s="1026"/>
    </row>
    <row r="59" spans="2:6" x14ac:dyDescent="0.25">
      <c r="B59" s="1056"/>
      <c r="C59" s="1059"/>
      <c r="F59" s="1026"/>
    </row>
    <row r="60" spans="2:6" x14ac:dyDescent="0.25">
      <c r="B60" s="1056"/>
      <c r="C60" s="1059"/>
      <c r="F60" s="1026"/>
    </row>
    <row r="61" spans="2:6" x14ac:dyDescent="0.25">
      <c r="B61" s="1056"/>
      <c r="C61" s="1059"/>
      <c r="F61" s="1026"/>
    </row>
    <row r="62" spans="2:6" x14ac:dyDescent="0.25">
      <c r="B62" s="1056"/>
      <c r="C62" s="1059"/>
      <c r="F62" s="1026"/>
    </row>
    <row r="63" spans="2:6" x14ac:dyDescent="0.25">
      <c r="B63" s="1056"/>
      <c r="C63" s="1059"/>
      <c r="F63" s="1026"/>
    </row>
    <row r="64" spans="2:6" x14ac:dyDescent="0.25">
      <c r="B64" s="1056"/>
      <c r="C64" s="1059"/>
      <c r="F64" s="1026"/>
    </row>
    <row r="65" spans="2:6" x14ac:dyDescent="0.25">
      <c r="B65" s="1056"/>
      <c r="C65" s="1059"/>
      <c r="F65" s="1026"/>
    </row>
    <row r="66" spans="2:6" x14ac:dyDescent="0.25">
      <c r="B66" s="1056"/>
      <c r="C66" s="1059"/>
      <c r="F66" s="1026"/>
    </row>
    <row r="67" spans="2:6" x14ac:dyDescent="0.25">
      <c r="B67" s="1056"/>
      <c r="C67" s="1059"/>
      <c r="F67" s="1026"/>
    </row>
    <row r="68" spans="2:6" x14ac:dyDescent="0.25">
      <c r="B68" s="1056"/>
      <c r="C68" s="1059"/>
      <c r="F68" s="1026"/>
    </row>
    <row r="69" spans="2:6" x14ac:dyDescent="0.25">
      <c r="B69" s="1056"/>
      <c r="C69" s="1059"/>
      <c r="F69" s="1026"/>
    </row>
    <row r="70" spans="2:6" x14ac:dyDescent="0.25">
      <c r="B70" s="1056"/>
      <c r="C70" s="1059"/>
      <c r="F70" s="1026"/>
    </row>
    <row r="71" spans="2:6" x14ac:dyDescent="0.25">
      <c r="B71" s="1056"/>
      <c r="C71" s="1059"/>
      <c r="F71" s="1026"/>
    </row>
    <row r="72" spans="2:6" x14ac:dyDescent="0.25">
      <c r="B72" s="1056"/>
      <c r="C72" s="1059"/>
      <c r="F72" s="1026"/>
    </row>
    <row r="73" spans="2:6" x14ac:dyDescent="0.25">
      <c r="B73" s="1056"/>
      <c r="C73" s="1059"/>
      <c r="F73" s="1026"/>
    </row>
    <row r="74" spans="2:6" x14ac:dyDescent="0.25">
      <c r="B74" s="1056"/>
      <c r="C74" s="1059"/>
      <c r="F74" s="1026"/>
    </row>
    <row r="75" spans="2:6" x14ac:dyDescent="0.25">
      <c r="B75" s="1056"/>
      <c r="C75" s="1059"/>
      <c r="F75" s="1026"/>
    </row>
    <row r="76" spans="2:6" x14ac:dyDescent="0.25">
      <c r="B76" s="1056"/>
      <c r="C76" s="1059"/>
      <c r="F76" s="1026"/>
    </row>
    <row r="77" spans="2:6" x14ac:dyDescent="0.25">
      <c r="B77" s="1056"/>
      <c r="C77" s="1059"/>
    </row>
    <row r="78" spans="2:6" x14ac:dyDescent="0.25">
      <c r="B78" s="1056"/>
      <c r="C78" s="1059"/>
    </row>
    <row r="79" spans="2:6" x14ac:dyDescent="0.25">
      <c r="B79" s="1056"/>
      <c r="C79" s="1059"/>
    </row>
    <row r="80" spans="2:6" x14ac:dyDescent="0.25">
      <c r="B80" s="1056"/>
      <c r="C80" s="1059"/>
    </row>
    <row r="81" spans="2:6" x14ac:dyDescent="0.25">
      <c r="B81" s="1056"/>
      <c r="C81" s="1059"/>
    </row>
    <row r="82" spans="2:6" x14ac:dyDescent="0.25">
      <c r="B82" s="1056"/>
      <c r="C82" s="1059"/>
    </row>
    <row r="83" spans="2:6" x14ac:dyDescent="0.25">
      <c r="B83" s="1056"/>
      <c r="C83" s="1059"/>
    </row>
    <row r="84" spans="2:6" x14ac:dyDescent="0.25">
      <c r="B84" s="1056"/>
      <c r="C84" s="1059"/>
      <c r="F84" s="1026"/>
    </row>
    <row r="85" spans="2:6" x14ac:dyDescent="0.25">
      <c r="B85" s="1056"/>
      <c r="C85" s="1059"/>
      <c r="F85" s="1026"/>
    </row>
    <row r="86" spans="2:6" x14ac:dyDescent="0.25">
      <c r="C86" s="1059"/>
    </row>
    <row r="87" spans="2:6" x14ac:dyDescent="0.25">
      <c r="C87" s="1059"/>
    </row>
    <row r="88" spans="2:6" x14ac:dyDescent="0.25">
      <c r="C88" s="1059"/>
    </row>
    <row r="89" spans="2:6" x14ac:dyDescent="0.25">
      <c r="C89" s="1059"/>
    </row>
    <row r="90" spans="2:6" x14ac:dyDescent="0.25">
      <c r="C90" s="1059"/>
    </row>
    <row r="91" spans="2:6" x14ac:dyDescent="0.25">
      <c r="C91" s="1059"/>
    </row>
    <row r="92" spans="2:6" x14ac:dyDescent="0.25">
      <c r="C92" s="1059"/>
    </row>
    <row r="93" spans="2:6" x14ac:dyDescent="0.25">
      <c r="C93" s="1059"/>
    </row>
    <row r="94" spans="2:6" x14ac:dyDescent="0.25">
      <c r="C94" s="1059"/>
    </row>
    <row r="95" spans="2:6" x14ac:dyDescent="0.25">
      <c r="C95" s="1059"/>
    </row>
    <row r="96" spans="2:6" x14ac:dyDescent="0.25">
      <c r="C96" s="1059"/>
    </row>
    <row r="97" spans="3:7" x14ac:dyDescent="0.25">
      <c r="C97" s="1059"/>
    </row>
    <row r="98" spans="3:7" x14ac:dyDescent="0.25">
      <c r="C98" s="1059"/>
    </row>
    <row r="99" spans="3:7" x14ac:dyDescent="0.25">
      <c r="C99" s="1059"/>
    </row>
    <row r="111" spans="3:7" x14ac:dyDescent="0.25">
      <c r="E111" s="1061"/>
      <c r="G111" s="1061"/>
    </row>
    <row r="130" spans="1:10" s="80" customFormat="1" x14ac:dyDescent="0.25">
      <c r="A130" s="746"/>
      <c r="B130" s="1026"/>
      <c r="C130" s="746"/>
      <c r="D130" s="746"/>
      <c r="E130" s="746"/>
      <c r="F130" s="746"/>
      <c r="G130" s="746"/>
      <c r="H130" s="746"/>
      <c r="I130" s="746"/>
      <c r="J130" s="746"/>
    </row>
    <row r="131" spans="1:10" s="80" customFormat="1" x14ac:dyDescent="0.25">
      <c r="A131" s="746"/>
      <c r="B131" s="1026"/>
      <c r="C131" s="746"/>
      <c r="D131" s="746"/>
      <c r="E131" s="746"/>
      <c r="F131" s="746"/>
      <c r="G131" s="746"/>
      <c r="H131" s="746"/>
      <c r="I131" s="746"/>
      <c r="J131" s="746"/>
    </row>
    <row r="132" spans="1:10" s="80" customFormat="1" x14ac:dyDescent="0.25">
      <c r="A132" s="746"/>
      <c r="B132" s="1026"/>
      <c r="C132" s="746"/>
      <c r="D132" s="746"/>
      <c r="E132" s="746"/>
      <c r="F132" s="746"/>
      <c r="G132" s="746"/>
      <c r="H132" s="746"/>
      <c r="I132" s="746"/>
      <c r="J132" s="746"/>
    </row>
    <row r="133" spans="1:10" s="80" customFormat="1" x14ac:dyDescent="0.25">
      <c r="A133" s="746"/>
      <c r="B133" s="1026"/>
      <c r="C133" s="746"/>
      <c r="D133" s="746"/>
      <c r="E133" s="746"/>
      <c r="F133" s="746"/>
      <c r="G133" s="746"/>
      <c r="H133" s="746"/>
      <c r="I133" s="746"/>
      <c r="J133" s="746"/>
    </row>
    <row r="134" spans="1:10" s="80" customFormat="1" x14ac:dyDescent="0.25">
      <c r="A134" s="746"/>
      <c r="B134" s="1026"/>
      <c r="C134" s="746"/>
      <c r="D134" s="746"/>
      <c r="E134" s="746"/>
      <c r="F134" s="746"/>
      <c r="G134" s="746"/>
      <c r="H134" s="746"/>
      <c r="I134" s="746"/>
      <c r="J134" s="746"/>
    </row>
    <row r="135" spans="1:10" s="80" customFormat="1" x14ac:dyDescent="0.25">
      <c r="A135" s="746"/>
      <c r="B135" s="1026"/>
      <c r="C135" s="746"/>
      <c r="D135" s="746"/>
      <c r="E135" s="746"/>
      <c r="F135" s="746"/>
      <c r="G135" s="746"/>
      <c r="H135" s="746"/>
      <c r="I135" s="746"/>
      <c r="J135" s="746"/>
    </row>
    <row r="136" spans="1:10" s="80" customFormat="1" x14ac:dyDescent="0.25">
      <c r="A136" s="746"/>
      <c r="B136" s="1026"/>
      <c r="C136" s="746"/>
      <c r="D136" s="746"/>
      <c r="E136" s="746"/>
      <c r="F136" s="746"/>
      <c r="G136" s="746"/>
      <c r="H136" s="746"/>
      <c r="I136" s="746"/>
      <c r="J136" s="746"/>
    </row>
    <row r="137" spans="1:10" s="80" customFormat="1" x14ac:dyDescent="0.25">
      <c r="A137" s="746"/>
      <c r="B137" s="1026"/>
      <c r="C137" s="746"/>
      <c r="D137" s="746"/>
      <c r="E137" s="746"/>
      <c r="F137" s="746"/>
      <c r="G137" s="746"/>
      <c r="H137" s="746"/>
      <c r="I137" s="746"/>
      <c r="J137" s="746"/>
    </row>
    <row r="138" spans="1:10" s="80" customFormat="1" x14ac:dyDescent="0.25">
      <c r="A138" s="746"/>
      <c r="B138" s="1026"/>
      <c r="C138" s="746"/>
      <c r="D138" s="746"/>
      <c r="E138" s="746"/>
      <c r="F138" s="746"/>
      <c r="G138" s="746"/>
      <c r="H138" s="746"/>
      <c r="I138" s="746"/>
      <c r="J138" s="746"/>
    </row>
    <row r="139" spans="1:10" s="80" customFormat="1" x14ac:dyDescent="0.25">
      <c r="A139" s="746"/>
      <c r="B139" s="1062"/>
      <c r="C139" s="746"/>
      <c r="D139" s="750"/>
      <c r="E139" s="746"/>
      <c r="F139" s="746"/>
      <c r="G139" s="746"/>
      <c r="H139" s="746"/>
      <c r="I139" s="746"/>
      <c r="J139" s="746"/>
    </row>
    <row r="140" spans="1:10" x14ac:dyDescent="0.25">
      <c r="D140" s="750"/>
    </row>
    <row r="141" spans="1:10" x14ac:dyDescent="0.25">
      <c r="D141" s="750"/>
    </row>
    <row r="142" spans="1:10" x14ac:dyDescent="0.25">
      <c r="D142" s="750"/>
    </row>
    <row r="143" spans="1:10" x14ac:dyDescent="0.25">
      <c r="D143" s="750"/>
    </row>
    <row r="144" spans="1:10" x14ac:dyDescent="0.25">
      <c r="D144" s="750"/>
    </row>
    <row r="145" spans="4:4" x14ac:dyDescent="0.25">
      <c r="D145" s="750"/>
    </row>
    <row r="161" spans="7:9" x14ac:dyDescent="0.25">
      <c r="G161" s="1063"/>
      <c r="H161" s="1063"/>
      <c r="I161" s="765"/>
    </row>
    <row r="162" spans="7:9" x14ac:dyDescent="0.25">
      <c r="G162" s="1063"/>
      <c r="H162" s="1063"/>
      <c r="I162" s="765"/>
    </row>
    <row r="163" spans="7:9" x14ac:dyDescent="0.25">
      <c r="G163" s="765"/>
      <c r="H163" s="765"/>
      <c r="I163" s="765"/>
    </row>
  </sheetData>
  <phoneticPr fontId="0" type="noConversion"/>
  <hyperlinks>
    <hyperlink ref="B1" location="'Table of Contents'!A1" display="TOC" xr:uid="{00000000-0004-0000-0100-000000000000}"/>
  </hyperlinks>
  <pageMargins left="0.75" right="0.75" top="1" bottom="1" header="0.5" footer="0.5"/>
  <pageSetup scale="24"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S167"/>
  <sheetViews>
    <sheetView workbookViewId="0">
      <pane ySplit="7" topLeftCell="A8" activePane="bottomLeft" state="frozen"/>
      <selection activeCell="P7" sqref="P7"/>
      <selection pane="bottomLeft" activeCell="P1" sqref="P1:P1048576"/>
    </sheetView>
  </sheetViews>
  <sheetFormatPr defaultRowHeight="13.2" x14ac:dyDescent="0.25"/>
  <cols>
    <col min="1" max="1" width="10.6640625" style="885" customWidth="1"/>
    <col min="2" max="2" width="36.6640625" customWidth="1"/>
    <col min="3" max="3" width="14.44140625" style="1" hidden="1" customWidth="1"/>
    <col min="4" max="10" width="14.44140625" style="114" hidden="1" customWidth="1"/>
    <col min="11" max="13" width="14.44140625" style="114" customWidth="1"/>
    <col min="14" max="14" width="14.44140625" customWidth="1"/>
    <col min="15" max="15" width="14.44140625" style="1" customWidth="1"/>
    <col min="16" max="18" width="14.44140625" customWidth="1"/>
    <col min="19" max="19" width="14.6640625" style="2" customWidth="1"/>
  </cols>
  <sheetData>
    <row r="1" spans="1:18" x14ac:dyDescent="0.25">
      <c r="A1" s="874" t="s">
        <v>1021</v>
      </c>
      <c r="B1" s="371" t="s">
        <v>1348</v>
      </c>
    </row>
    <row r="2" spans="1:18" ht="13.8" x14ac:dyDescent="0.25">
      <c r="A2" s="875" t="s">
        <v>259</v>
      </c>
      <c r="B2" s="45"/>
      <c r="E2" s="141"/>
      <c r="I2" s="141" t="s">
        <v>257</v>
      </c>
      <c r="J2" s="141"/>
      <c r="K2" s="141"/>
      <c r="L2" s="141"/>
      <c r="M2" s="141"/>
      <c r="N2" s="61" t="s">
        <v>277</v>
      </c>
      <c r="P2" s="46" t="s">
        <v>476</v>
      </c>
    </row>
    <row r="3" spans="1:18" ht="13.8" thickBot="1" x14ac:dyDescent="0.3">
      <c r="A3" s="876"/>
      <c r="B3" s="4"/>
      <c r="C3" s="23"/>
      <c r="D3" s="23"/>
      <c r="E3" s="23"/>
      <c r="F3" s="23"/>
      <c r="G3" s="23"/>
      <c r="H3" s="23"/>
      <c r="I3" s="23"/>
      <c r="J3" s="23"/>
      <c r="K3" s="23"/>
      <c r="L3" s="23"/>
      <c r="M3" s="23"/>
      <c r="N3" s="4"/>
      <c r="O3" s="23"/>
      <c r="P3" s="4"/>
      <c r="R3" s="4"/>
    </row>
    <row r="4" spans="1:18" ht="13.8" thickTop="1" x14ac:dyDescent="0.25">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t="s">
        <v>910</v>
      </c>
    </row>
    <row r="5" spans="1:18" x14ac:dyDescent="0.25">
      <c r="A5" s="878"/>
      <c r="B5" s="209"/>
      <c r="C5" s="127"/>
      <c r="D5" s="87"/>
      <c r="E5" s="113"/>
      <c r="F5" s="87"/>
      <c r="G5" s="87"/>
      <c r="H5" s="113"/>
      <c r="I5" s="290"/>
      <c r="J5" s="290"/>
      <c r="K5" s="290"/>
      <c r="L5" s="290"/>
      <c r="M5" s="290"/>
      <c r="N5" s="113" t="s">
        <v>515</v>
      </c>
      <c r="O5" s="88" t="s">
        <v>7</v>
      </c>
      <c r="P5" s="203" t="s">
        <v>782</v>
      </c>
    </row>
    <row r="6" spans="1:18" x14ac:dyDescent="0.25">
      <c r="A6" s="878"/>
      <c r="B6" s="209"/>
      <c r="C6" s="127"/>
      <c r="D6" s="127"/>
      <c r="E6" s="127"/>
      <c r="F6" s="87"/>
      <c r="G6" s="127"/>
      <c r="H6" s="127"/>
      <c r="I6" s="88"/>
      <c r="J6" s="88"/>
      <c r="K6" s="88"/>
      <c r="L6" s="88"/>
      <c r="M6" s="88"/>
      <c r="N6" s="127"/>
      <c r="O6" s="88" t="s">
        <v>8</v>
      </c>
      <c r="P6" s="47" t="s">
        <v>543</v>
      </c>
    </row>
    <row r="7" spans="1:18"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44561</v>
      </c>
      <c r="O7" s="9" t="s">
        <v>9</v>
      </c>
      <c r="P7" s="9" t="s">
        <v>546</v>
      </c>
    </row>
    <row r="8" spans="1:18" ht="13.8" thickTop="1" x14ac:dyDescent="0.25">
      <c r="A8" s="908"/>
      <c r="B8" s="210"/>
      <c r="C8" s="132"/>
      <c r="D8" s="18"/>
      <c r="E8" s="18"/>
      <c r="F8" s="18"/>
      <c r="G8" s="18"/>
      <c r="H8" s="18"/>
      <c r="I8" s="18"/>
      <c r="J8" s="18"/>
      <c r="K8" s="19"/>
      <c r="L8" s="19"/>
      <c r="M8" s="19"/>
      <c r="N8" s="18"/>
      <c r="O8" s="19"/>
      <c r="P8" s="204"/>
    </row>
    <row r="9" spans="1:18" x14ac:dyDescent="0.25">
      <c r="A9" s="881">
        <v>5305</v>
      </c>
      <c r="B9" s="63" t="s">
        <v>148</v>
      </c>
      <c r="C9" s="130">
        <v>280</v>
      </c>
      <c r="D9" s="13">
        <v>0</v>
      </c>
      <c r="E9" s="13">
        <v>247.35</v>
      </c>
      <c r="F9" s="13">
        <v>296.82</v>
      </c>
      <c r="G9" s="13">
        <v>246</v>
      </c>
      <c r="H9" s="13">
        <v>288</v>
      </c>
      <c r="I9" s="13">
        <v>377.4</v>
      </c>
      <c r="J9" s="13"/>
      <c r="K9" s="14">
        <v>420</v>
      </c>
      <c r="L9" s="13"/>
      <c r="M9" s="14"/>
      <c r="N9" s="13"/>
      <c r="O9" s="14"/>
      <c r="P9" s="14"/>
    </row>
    <row r="10" spans="1:18" x14ac:dyDescent="0.25">
      <c r="A10" s="881">
        <v>5314</v>
      </c>
      <c r="B10" s="63" t="s">
        <v>139</v>
      </c>
      <c r="C10" s="130">
        <v>45</v>
      </c>
      <c r="D10" s="13">
        <v>40</v>
      </c>
      <c r="E10" s="13">
        <v>50</v>
      </c>
      <c r="F10" s="13">
        <v>55</v>
      </c>
      <c r="G10" s="13"/>
      <c r="H10" s="13"/>
      <c r="I10" s="13">
        <v>0</v>
      </c>
      <c r="J10" s="13">
        <v>150</v>
      </c>
      <c r="K10" s="14">
        <v>200</v>
      </c>
      <c r="L10" s="13">
        <v>100</v>
      </c>
      <c r="M10" s="14">
        <v>200</v>
      </c>
      <c r="N10" s="13">
        <v>50</v>
      </c>
      <c r="O10" s="14">
        <v>150</v>
      </c>
      <c r="P10" s="14"/>
    </row>
    <row r="11" spans="1:18" x14ac:dyDescent="0.25">
      <c r="A11" s="881">
        <v>5315</v>
      </c>
      <c r="B11" s="63" t="s">
        <v>1700</v>
      </c>
      <c r="C11" s="130"/>
      <c r="D11" s="13"/>
      <c r="E11" s="13"/>
      <c r="F11" s="13"/>
      <c r="G11" s="13"/>
      <c r="H11" s="13"/>
      <c r="I11" s="13"/>
      <c r="J11" s="13"/>
      <c r="K11" s="14"/>
      <c r="L11" s="13"/>
      <c r="M11" s="14">
        <v>1300</v>
      </c>
      <c r="N11" s="13">
        <v>510</v>
      </c>
      <c r="O11" s="14">
        <v>1440</v>
      </c>
      <c r="P11" s="14"/>
    </row>
    <row r="12" spans="1:18" x14ac:dyDescent="0.25">
      <c r="A12" s="881">
        <v>5344</v>
      </c>
      <c r="B12" s="63" t="s">
        <v>142</v>
      </c>
      <c r="C12" s="130"/>
      <c r="D12" s="13">
        <v>0</v>
      </c>
      <c r="E12" s="13"/>
      <c r="F12" s="13"/>
      <c r="G12" s="13"/>
      <c r="H12" s="13"/>
      <c r="I12" s="13">
        <v>115.68</v>
      </c>
      <c r="J12" s="13"/>
      <c r="K12" s="14"/>
      <c r="L12" s="13"/>
      <c r="M12" s="14"/>
      <c r="N12" s="13"/>
      <c r="O12" s="14"/>
      <c r="P12" s="14"/>
    </row>
    <row r="13" spans="1:18" x14ac:dyDescent="0.25">
      <c r="A13" s="881">
        <v>5420</v>
      </c>
      <c r="B13" s="63" t="s">
        <v>144</v>
      </c>
      <c r="C13" s="130">
        <v>54.84</v>
      </c>
      <c r="D13" s="13">
        <v>0</v>
      </c>
      <c r="E13" s="13"/>
      <c r="F13" s="13"/>
      <c r="G13" s="13"/>
      <c r="H13" s="13"/>
      <c r="I13" s="13"/>
      <c r="J13" s="13"/>
      <c r="K13" s="14"/>
      <c r="L13" s="13"/>
      <c r="M13" s="14">
        <v>120</v>
      </c>
      <c r="N13" s="13"/>
      <c r="O13" s="14">
        <v>100</v>
      </c>
      <c r="P13" s="14"/>
    </row>
    <row r="14" spans="1:18" x14ac:dyDescent="0.25">
      <c r="A14" s="881">
        <v>5710</v>
      </c>
      <c r="B14" s="63" t="s">
        <v>535</v>
      </c>
      <c r="C14" s="250">
        <v>106.41</v>
      </c>
      <c r="D14" s="37">
        <v>99.4</v>
      </c>
      <c r="E14" s="37">
        <v>98.45</v>
      </c>
      <c r="F14" s="37">
        <v>87.4</v>
      </c>
      <c r="G14" s="37"/>
      <c r="H14" s="37"/>
      <c r="I14" s="37">
        <v>0</v>
      </c>
      <c r="J14" s="37">
        <v>134.1</v>
      </c>
      <c r="K14" s="38">
        <v>200</v>
      </c>
      <c r="L14" s="37"/>
      <c r="M14" s="38">
        <v>200</v>
      </c>
      <c r="N14" s="37"/>
      <c r="O14" s="38">
        <v>125</v>
      </c>
      <c r="P14" s="38"/>
    </row>
    <row r="15" spans="1:18" ht="13.8" thickBot="1" x14ac:dyDescent="0.3">
      <c r="A15" s="881">
        <v>5730</v>
      </c>
      <c r="B15" s="63" t="s">
        <v>147</v>
      </c>
      <c r="C15" s="131">
        <v>173</v>
      </c>
      <c r="D15" s="15">
        <v>176</v>
      </c>
      <c r="E15" s="15">
        <v>176</v>
      </c>
      <c r="F15" s="15">
        <v>176</v>
      </c>
      <c r="G15" s="15">
        <v>176</v>
      </c>
      <c r="H15" s="15">
        <v>180</v>
      </c>
      <c r="I15" s="15">
        <v>180</v>
      </c>
      <c r="J15" s="15">
        <v>180</v>
      </c>
      <c r="K15" s="16">
        <v>180</v>
      </c>
      <c r="L15" s="15">
        <v>180</v>
      </c>
      <c r="M15" s="16">
        <v>180</v>
      </c>
      <c r="N15" s="15">
        <v>180</v>
      </c>
      <c r="O15" s="16">
        <v>185</v>
      </c>
      <c r="P15" s="16"/>
    </row>
    <row r="16" spans="1:18" x14ac:dyDescent="0.25">
      <c r="A16" s="881"/>
      <c r="B16" s="64" t="s">
        <v>449</v>
      </c>
      <c r="C16" s="132">
        <f>SUM(C8:C15)</f>
        <v>659.25</v>
      </c>
      <c r="D16" s="18">
        <f>SUM(D8:D15)</f>
        <v>315.39999999999998</v>
      </c>
      <c r="E16" s="18">
        <f>SUM(E8:E15)</f>
        <v>571.79999999999995</v>
      </c>
      <c r="F16" s="18">
        <f>SUM(F9:F15)</f>
        <v>615.22</v>
      </c>
      <c r="G16" s="18">
        <f>SUM(G9:G15)</f>
        <v>422</v>
      </c>
      <c r="H16" s="18">
        <f>SUM(H9:H15)</f>
        <v>468</v>
      </c>
      <c r="I16" s="18">
        <f>SUM(I8:I15)</f>
        <v>673.07999999999993</v>
      </c>
      <c r="J16" s="18">
        <f>SUM(J8:J15)</f>
        <v>464.1</v>
      </c>
      <c r="K16" s="19">
        <f>SUM(K8:K15)</f>
        <v>1000</v>
      </c>
      <c r="L16" s="18">
        <f t="shared" ref="L16:M16" si="0">SUM(L8:L15)</f>
        <v>280</v>
      </c>
      <c r="M16" s="19">
        <f t="shared" si="0"/>
        <v>2000</v>
      </c>
      <c r="N16" s="18">
        <f>SUM(N9:N15)</f>
        <v>740</v>
      </c>
      <c r="O16" s="19">
        <f>SUM(O8:O15)</f>
        <v>2000</v>
      </c>
      <c r="P16" s="19">
        <f>SUM(P8:P15)</f>
        <v>0</v>
      </c>
    </row>
    <row r="17" spans="1:18" x14ac:dyDescent="0.25">
      <c r="A17" s="881"/>
      <c r="B17" s="110"/>
      <c r="C17" s="132"/>
      <c r="D17" s="18"/>
      <c r="E17" s="18"/>
      <c r="F17" s="18"/>
      <c r="G17" s="18"/>
      <c r="H17" s="18"/>
      <c r="I17" s="18"/>
      <c r="J17" s="18"/>
      <c r="K17" s="19"/>
      <c r="L17" s="18"/>
      <c r="M17" s="19"/>
      <c r="N17" s="18"/>
      <c r="O17" s="19"/>
      <c r="P17" s="19"/>
    </row>
    <row r="18" spans="1:18" x14ac:dyDescent="0.25">
      <c r="A18" s="881"/>
      <c r="B18" s="63"/>
      <c r="C18" s="130"/>
      <c r="D18" s="13"/>
      <c r="E18" s="13"/>
      <c r="F18" s="13"/>
      <c r="G18" s="13"/>
      <c r="H18" s="13"/>
      <c r="I18" s="13"/>
      <c r="J18" s="13"/>
      <c r="K18" s="14"/>
      <c r="L18" s="13"/>
      <c r="M18" s="14"/>
      <c r="N18" s="13"/>
      <c r="O18" s="14"/>
      <c r="P18" s="14"/>
    </row>
    <row r="19" spans="1:18" ht="13.8" thickBot="1" x14ac:dyDescent="0.3">
      <c r="A19" s="882"/>
      <c r="B19" s="723" t="s">
        <v>278</v>
      </c>
      <c r="C19" s="714">
        <f t="shared" ref="C19:O19" si="1">+C16</f>
        <v>659.25</v>
      </c>
      <c r="D19" s="21">
        <f t="shared" si="1"/>
        <v>315.39999999999998</v>
      </c>
      <c r="E19" s="21">
        <f t="shared" si="1"/>
        <v>571.79999999999995</v>
      </c>
      <c r="F19" s="21">
        <f>+F16</f>
        <v>615.22</v>
      </c>
      <c r="G19" s="21">
        <f>+G16</f>
        <v>422</v>
      </c>
      <c r="H19" s="21">
        <f>+H16</f>
        <v>468</v>
      </c>
      <c r="I19" s="21">
        <f t="shared" si="1"/>
        <v>673.07999999999993</v>
      </c>
      <c r="J19" s="21">
        <f t="shared" ref="J19" si="2">+J16</f>
        <v>464.1</v>
      </c>
      <c r="K19" s="22">
        <f t="shared" ref="K19:M19" si="3">+K16</f>
        <v>1000</v>
      </c>
      <c r="L19" s="21">
        <f t="shared" si="3"/>
        <v>280</v>
      </c>
      <c r="M19" s="22">
        <f t="shared" si="3"/>
        <v>2000</v>
      </c>
      <c r="N19" s="21">
        <f t="shared" si="1"/>
        <v>740</v>
      </c>
      <c r="O19" s="22">
        <f t="shared" si="1"/>
        <v>2000</v>
      </c>
      <c r="P19" s="22">
        <f>+O19</f>
        <v>2000</v>
      </c>
    </row>
    <row r="20" spans="1:18" ht="13.8" thickTop="1" x14ac:dyDescent="0.25">
      <c r="A20" s="57">
        <v>44538</v>
      </c>
      <c r="B20" s="4" t="s">
        <v>1349</v>
      </c>
      <c r="C20" s="23"/>
      <c r="D20" s="23"/>
      <c r="E20" s="23"/>
      <c r="F20" s="23"/>
      <c r="G20" s="23"/>
      <c r="H20" s="23"/>
      <c r="I20" s="23"/>
      <c r="J20" s="23"/>
      <c r="K20" s="23"/>
      <c r="L20" s="23"/>
      <c r="M20" s="23"/>
      <c r="N20" s="27"/>
      <c r="O20" s="23"/>
      <c r="P20" s="27"/>
      <c r="Q20" s="2"/>
    </row>
    <row r="21" spans="1:18" x14ac:dyDescent="0.25">
      <c r="A21" s="66">
        <v>44587</v>
      </c>
      <c r="B21" s="4" t="s">
        <v>1862</v>
      </c>
      <c r="C21" s="23"/>
      <c r="D21" s="23"/>
      <c r="E21" s="23"/>
      <c r="F21" s="23"/>
      <c r="G21" s="23"/>
      <c r="H21" s="23"/>
      <c r="I21" s="23"/>
      <c r="J21" s="23"/>
      <c r="K21" s="23"/>
      <c r="L21" s="23"/>
      <c r="M21" s="23"/>
      <c r="N21" s="27"/>
      <c r="O21" s="325">
        <f>+O19-K19</f>
        <v>1000</v>
      </c>
      <c r="P21" s="744">
        <f>ROUND((+O21/K19),4)</f>
        <v>1</v>
      </c>
      <c r="Q21" s="27"/>
      <c r="R21" s="27"/>
    </row>
    <row r="22" spans="1:18" ht="13.8" thickBot="1" x14ac:dyDescent="0.3">
      <c r="A22" s="905"/>
      <c r="B22" s="4"/>
      <c r="C22" s="23"/>
      <c r="D22" s="23"/>
      <c r="E22" s="23"/>
      <c r="F22" s="23"/>
      <c r="G22" s="23"/>
      <c r="H22" s="742"/>
      <c r="I22" s="742"/>
      <c r="J22" s="742"/>
      <c r="K22" s="202"/>
      <c r="L22" s="202"/>
      <c r="M22" s="202"/>
      <c r="N22" s="743"/>
      <c r="O22" s="134"/>
      <c r="P22" s="94"/>
      <c r="Q22" s="94"/>
      <c r="R22" s="94"/>
    </row>
    <row r="23" spans="1:18" ht="13.8" thickTop="1" x14ac:dyDescent="0.25">
      <c r="A23" s="893"/>
      <c r="B23" s="452"/>
      <c r="C23" s="453" t="s">
        <v>127</v>
      </c>
      <c r="D23" s="454" t="s">
        <v>127</v>
      </c>
      <c r="E23" s="454" t="s">
        <v>127</v>
      </c>
      <c r="K23" s="455" t="s">
        <v>547</v>
      </c>
      <c r="L23" s="456" t="s">
        <v>9</v>
      </c>
      <c r="M23" s="457" t="s">
        <v>1073</v>
      </c>
      <c r="N23" s="456" t="s">
        <v>686</v>
      </c>
      <c r="O23" s="458"/>
      <c r="P23" s="457"/>
      <c r="Q23" s="94"/>
      <c r="R23" s="94"/>
    </row>
    <row r="24" spans="1:18" ht="13.8" thickBot="1" x14ac:dyDescent="0.3">
      <c r="A24" s="894" t="s">
        <v>128</v>
      </c>
      <c r="B24" s="459"/>
      <c r="C24" s="460" t="s">
        <v>347</v>
      </c>
      <c r="D24" s="460" t="s">
        <v>722</v>
      </c>
      <c r="E24" s="461" t="s">
        <v>737</v>
      </c>
      <c r="K24" s="462" t="s">
        <v>909</v>
      </c>
      <c r="L24" s="462" t="s">
        <v>910</v>
      </c>
      <c r="M24" s="461" t="s">
        <v>1075</v>
      </c>
      <c r="N24" s="463" t="s">
        <v>1075</v>
      </c>
      <c r="O24" s="464" t="s">
        <v>1074</v>
      </c>
      <c r="P24" s="462"/>
      <c r="Q24" s="89"/>
      <c r="R24" s="89"/>
    </row>
    <row r="25" spans="1:18" ht="13.8" thickTop="1" x14ac:dyDescent="0.25">
      <c r="A25" s="907">
        <v>5305</v>
      </c>
      <c r="B25" s="501" t="s">
        <v>148</v>
      </c>
      <c r="C25" s="468">
        <v>87868.9</v>
      </c>
      <c r="D25" s="468">
        <v>95093</v>
      </c>
      <c r="E25" s="468">
        <v>98445</v>
      </c>
      <c r="K25" s="469">
        <f>+M9</f>
        <v>0</v>
      </c>
      <c r="L25" s="496">
        <f>+O9</f>
        <v>0</v>
      </c>
      <c r="M25" s="471">
        <f t="shared" ref="M25:M31" si="4">+L25-K25</f>
        <v>0</v>
      </c>
      <c r="N25" s="477" t="str">
        <f t="shared" ref="N25:N31" si="5">IF(K25+L25&lt;&gt;0,IF(K25&lt;&gt;0,IF(M25&lt;&gt;0,ROUND((+M25/K25),4),""),1),"")</f>
        <v/>
      </c>
      <c r="O25" s="470" t="s">
        <v>1741</v>
      </c>
      <c r="P25" s="471"/>
      <c r="Q25" s="89"/>
      <c r="R25" s="89"/>
    </row>
    <row r="26" spans="1:18" x14ac:dyDescent="0.25">
      <c r="A26" s="907">
        <v>5314</v>
      </c>
      <c r="B26" s="501" t="s">
        <v>139</v>
      </c>
      <c r="C26" s="468">
        <v>32158</v>
      </c>
      <c r="D26" s="468">
        <v>35092.639999999999</v>
      </c>
      <c r="E26" s="468">
        <v>38122.11</v>
      </c>
      <c r="K26" s="469">
        <f>+M10</f>
        <v>200</v>
      </c>
      <c r="L26" s="496">
        <f>+O10</f>
        <v>150</v>
      </c>
      <c r="M26" s="471">
        <f t="shared" si="4"/>
        <v>-50</v>
      </c>
      <c r="N26" s="477">
        <f t="shared" si="5"/>
        <v>-0.25</v>
      </c>
      <c r="O26" s="470" t="s">
        <v>1742</v>
      </c>
      <c r="P26" s="471"/>
      <c r="Q26" s="25"/>
      <c r="R26" s="25"/>
    </row>
    <row r="27" spans="1:18" x14ac:dyDescent="0.25">
      <c r="A27" s="907">
        <v>5344</v>
      </c>
      <c r="B27" s="501" t="s">
        <v>142</v>
      </c>
      <c r="C27" s="476">
        <v>1000</v>
      </c>
      <c r="D27" s="476">
        <v>1500</v>
      </c>
      <c r="E27" s="476">
        <v>1500</v>
      </c>
      <c r="K27" s="469">
        <f t="shared" ref="K27" si="6">+M12</f>
        <v>0</v>
      </c>
      <c r="L27" s="496">
        <f t="shared" ref="L27" si="7">+O12</f>
        <v>0</v>
      </c>
      <c r="M27" s="471">
        <f t="shared" si="4"/>
        <v>0</v>
      </c>
      <c r="N27" s="477" t="str">
        <f t="shared" si="5"/>
        <v/>
      </c>
      <c r="O27" s="470"/>
      <c r="P27" s="471"/>
      <c r="Q27" s="25"/>
      <c r="R27" s="25"/>
    </row>
    <row r="28" spans="1:18" x14ac:dyDescent="0.25">
      <c r="A28" s="907">
        <v>5315</v>
      </c>
      <c r="B28" s="501" t="s">
        <v>1700</v>
      </c>
      <c r="C28" s="481"/>
      <c r="D28" s="481"/>
      <c r="E28" s="481"/>
      <c r="K28" s="469">
        <f>+M11</f>
        <v>1300</v>
      </c>
      <c r="L28" s="496">
        <f>+O11</f>
        <v>1440</v>
      </c>
      <c r="M28" s="471">
        <f t="shared" ref="M28" si="8">+L28-K28</f>
        <v>140</v>
      </c>
      <c r="N28" s="477">
        <f t="shared" ref="N28" si="9">IF(K28+L28&lt;&gt;0,IF(K28&lt;&gt;0,IF(M28&lt;&gt;0,ROUND((+M28/K28),4),""),1),"")</f>
        <v>0.1077</v>
      </c>
      <c r="O28" s="470" t="s">
        <v>1743</v>
      </c>
      <c r="P28" s="471"/>
      <c r="Q28" s="25"/>
      <c r="R28" s="25"/>
    </row>
    <row r="29" spans="1:18" x14ac:dyDescent="0.25">
      <c r="A29" s="907">
        <v>5420</v>
      </c>
      <c r="B29" s="501" t="s">
        <v>144</v>
      </c>
      <c r="C29" s="481">
        <v>1000</v>
      </c>
      <c r="D29" s="481">
        <v>1500</v>
      </c>
      <c r="E29" s="481">
        <v>1500</v>
      </c>
      <c r="K29" s="469">
        <f>+M13</f>
        <v>120</v>
      </c>
      <c r="L29" s="496">
        <f>+O13</f>
        <v>100</v>
      </c>
      <c r="M29" s="471">
        <f t="shared" si="4"/>
        <v>-20</v>
      </c>
      <c r="N29" s="477">
        <f t="shared" si="5"/>
        <v>-0.16669999999999999</v>
      </c>
      <c r="O29" s="470" t="s">
        <v>1744</v>
      </c>
      <c r="P29" s="471"/>
      <c r="Q29" s="25"/>
      <c r="R29" s="25"/>
    </row>
    <row r="30" spans="1:18" x14ac:dyDescent="0.25">
      <c r="A30" s="907">
        <v>5710</v>
      </c>
      <c r="B30" s="501" t="s">
        <v>535</v>
      </c>
      <c r="C30" s="476">
        <v>1000</v>
      </c>
      <c r="D30" s="476">
        <v>1500</v>
      </c>
      <c r="E30" s="476">
        <v>1500</v>
      </c>
      <c r="K30" s="469">
        <f>+M14</f>
        <v>200</v>
      </c>
      <c r="L30" s="496">
        <f>+O14</f>
        <v>125</v>
      </c>
      <c r="M30" s="471">
        <f t="shared" si="4"/>
        <v>-75</v>
      </c>
      <c r="N30" s="477">
        <f t="shared" si="5"/>
        <v>-0.375</v>
      </c>
      <c r="O30" s="470" t="s">
        <v>1744</v>
      </c>
      <c r="P30" s="471"/>
      <c r="Q30" s="25"/>
      <c r="R30" s="25"/>
    </row>
    <row r="31" spans="1:18" x14ac:dyDescent="0.25">
      <c r="A31" s="907">
        <v>5730</v>
      </c>
      <c r="B31" s="501" t="s">
        <v>147</v>
      </c>
      <c r="C31" s="476">
        <v>1050</v>
      </c>
      <c r="D31" s="476">
        <v>1100</v>
      </c>
      <c r="E31" s="476">
        <v>1100</v>
      </c>
      <c r="K31" s="469">
        <f>+M15</f>
        <v>180</v>
      </c>
      <c r="L31" s="496">
        <f>+O15</f>
        <v>185</v>
      </c>
      <c r="M31" s="471">
        <f t="shared" si="4"/>
        <v>5</v>
      </c>
      <c r="N31" s="477">
        <f t="shared" si="5"/>
        <v>2.7799999999999998E-2</v>
      </c>
      <c r="O31" s="470"/>
      <c r="P31" s="471"/>
      <c r="Q31" s="25"/>
      <c r="R31" s="25"/>
    </row>
    <row r="32" spans="1:18" x14ac:dyDescent="0.25">
      <c r="A32" s="876"/>
      <c r="B32" s="4"/>
      <c r="C32" s="23"/>
      <c r="D32" s="23"/>
      <c r="E32" s="23"/>
      <c r="F32" s="23"/>
      <c r="G32" s="23"/>
      <c r="H32" s="23"/>
      <c r="I32" s="23"/>
      <c r="J32" s="23"/>
      <c r="K32" s="23"/>
      <c r="L32" s="23"/>
      <c r="M32" s="23"/>
      <c r="N32" s="27"/>
      <c r="O32" s="23"/>
      <c r="P32" s="27"/>
      <c r="Q32" s="27"/>
      <c r="R32" s="27"/>
    </row>
    <row r="33" spans="1:18" x14ac:dyDescent="0.25">
      <c r="A33" s="876"/>
      <c r="B33" s="4"/>
      <c r="C33" s="23"/>
      <c r="D33" s="23"/>
      <c r="E33" s="23"/>
      <c r="F33" s="23"/>
      <c r="G33" s="23"/>
      <c r="H33" s="23"/>
      <c r="I33" s="23"/>
      <c r="J33" s="23"/>
      <c r="K33" s="23"/>
      <c r="L33" s="23"/>
      <c r="M33" s="23"/>
      <c r="N33" s="27"/>
      <c r="O33" s="23"/>
      <c r="P33" s="27"/>
      <c r="Q33" s="27"/>
      <c r="R33" s="27"/>
    </row>
    <row r="34" spans="1:18" x14ac:dyDescent="0.25">
      <c r="A34" s="876"/>
      <c r="B34" s="4"/>
      <c r="C34" s="23"/>
      <c r="D34" s="23"/>
      <c r="E34" s="23"/>
      <c r="F34" s="23"/>
      <c r="G34" s="23"/>
      <c r="H34" s="23"/>
      <c r="I34" s="23"/>
      <c r="J34" s="23"/>
      <c r="K34" s="23"/>
      <c r="L34" s="23"/>
      <c r="M34" s="23"/>
      <c r="N34" s="27"/>
      <c r="O34" s="23"/>
      <c r="P34" s="27"/>
      <c r="Q34" s="27"/>
      <c r="R34" s="27"/>
    </row>
    <row r="35" spans="1:18" x14ac:dyDescent="0.25">
      <c r="A35" s="876"/>
      <c r="B35" s="4"/>
      <c r="C35" s="23"/>
      <c r="D35" s="23"/>
      <c r="E35" s="23"/>
      <c r="F35" s="23"/>
      <c r="G35" s="23"/>
      <c r="H35" s="23"/>
      <c r="I35" s="23"/>
      <c r="J35" s="23"/>
      <c r="K35" s="23"/>
      <c r="L35" s="23"/>
      <c r="M35" s="23"/>
      <c r="N35" s="27"/>
      <c r="O35" s="23"/>
      <c r="P35" s="27"/>
      <c r="Q35" s="27"/>
      <c r="R35" s="27"/>
    </row>
    <row r="36" spans="1:18" x14ac:dyDescent="0.25">
      <c r="A36" s="876"/>
      <c r="B36" s="4"/>
      <c r="C36" s="23"/>
      <c r="D36" s="23"/>
      <c r="E36" s="23"/>
      <c r="F36" s="23"/>
      <c r="G36" s="23"/>
      <c r="H36" s="23"/>
      <c r="I36" s="23"/>
      <c r="J36" s="23"/>
      <c r="K36" s="23"/>
      <c r="L36" s="23"/>
      <c r="M36" s="23"/>
      <c r="N36" s="27"/>
      <c r="O36" s="23"/>
      <c r="P36" s="27"/>
      <c r="Q36" s="27"/>
      <c r="R36" s="27"/>
    </row>
    <row r="37" spans="1:18" x14ac:dyDescent="0.25">
      <c r="A37" s="876"/>
      <c r="B37" s="4"/>
      <c r="C37" s="23"/>
      <c r="D37" s="23"/>
      <c r="E37" s="23"/>
      <c r="F37" s="23"/>
      <c r="G37" s="23"/>
      <c r="H37" s="23"/>
      <c r="I37" s="23"/>
      <c r="J37" s="23"/>
      <c r="K37" s="23"/>
      <c r="L37" s="23"/>
      <c r="M37" s="23"/>
      <c r="N37" s="27"/>
      <c r="O37" s="23"/>
      <c r="P37" s="27"/>
      <c r="Q37" s="27"/>
      <c r="R37" s="27"/>
    </row>
    <row r="38" spans="1:18" x14ac:dyDescent="0.25">
      <c r="A38" s="876"/>
      <c r="B38" s="4"/>
      <c r="C38" s="23"/>
      <c r="D38" s="23"/>
      <c r="E38" s="23"/>
      <c r="F38" s="23"/>
      <c r="G38" s="23"/>
      <c r="H38" s="23"/>
      <c r="I38" s="23"/>
      <c r="J38" s="23"/>
      <c r="K38" s="23"/>
      <c r="L38" s="23"/>
      <c r="M38" s="23"/>
      <c r="N38" s="27"/>
      <c r="O38" s="23"/>
      <c r="P38" s="27"/>
      <c r="Q38" s="27"/>
      <c r="R38" s="27"/>
    </row>
    <row r="39" spans="1:18" x14ac:dyDescent="0.25">
      <c r="A39" s="876"/>
      <c r="B39" s="4"/>
      <c r="C39" s="23"/>
      <c r="D39" s="23"/>
      <c r="E39" s="23"/>
      <c r="F39" s="23"/>
      <c r="G39" s="23"/>
      <c r="H39" s="23"/>
      <c r="I39" s="23"/>
      <c r="J39" s="23"/>
      <c r="K39" s="23"/>
      <c r="L39" s="23"/>
      <c r="M39" s="23"/>
      <c r="N39" s="27"/>
      <c r="O39" s="23"/>
      <c r="P39" s="27"/>
      <c r="Q39" s="27"/>
      <c r="R39" s="27"/>
    </row>
    <row r="40" spans="1:18" x14ac:dyDescent="0.25">
      <c r="A40" s="876"/>
      <c r="B40" s="4"/>
      <c r="C40" s="23"/>
      <c r="D40" s="23"/>
      <c r="E40" s="23"/>
      <c r="F40" s="23"/>
      <c r="G40" s="23"/>
      <c r="H40" s="23"/>
      <c r="I40" s="23"/>
      <c r="J40" s="23"/>
      <c r="K40" s="23"/>
      <c r="L40" s="23"/>
      <c r="M40" s="23"/>
      <c r="N40" s="27"/>
      <c r="O40" s="23"/>
      <c r="P40" s="27"/>
      <c r="Q40" s="27"/>
      <c r="R40" s="27"/>
    </row>
    <row r="41" spans="1:18" x14ac:dyDescent="0.25">
      <c r="A41" s="876"/>
      <c r="B41" s="4"/>
      <c r="C41" s="23"/>
      <c r="D41" s="23"/>
      <c r="E41" s="23"/>
      <c r="F41" s="23"/>
      <c r="G41" s="23"/>
      <c r="H41" s="23"/>
      <c r="I41" s="23"/>
      <c r="J41" s="23"/>
      <c r="K41" s="23"/>
      <c r="L41" s="23"/>
      <c r="M41" s="23"/>
      <c r="N41" s="27"/>
      <c r="O41" s="23"/>
      <c r="P41" s="27"/>
      <c r="Q41" s="27"/>
      <c r="R41" s="27"/>
    </row>
    <row r="42" spans="1:18" x14ac:dyDescent="0.25">
      <c r="A42" s="876"/>
      <c r="B42" s="4"/>
      <c r="C42" s="23"/>
      <c r="D42" s="23"/>
      <c r="E42" s="23"/>
      <c r="F42" s="23"/>
      <c r="G42" s="23"/>
      <c r="H42" s="23"/>
      <c r="I42" s="23"/>
      <c r="J42" s="23"/>
      <c r="K42" s="23"/>
      <c r="L42" s="23"/>
      <c r="M42" s="23"/>
      <c r="N42" s="27"/>
      <c r="O42" s="23"/>
      <c r="P42" s="27"/>
      <c r="Q42" s="27"/>
      <c r="R42" s="27"/>
    </row>
    <row r="43" spans="1:18" x14ac:dyDescent="0.25">
      <c r="A43" s="876"/>
      <c r="B43" s="4"/>
      <c r="C43" s="23"/>
      <c r="D43" s="23"/>
      <c r="E43" s="23"/>
      <c r="F43" s="23"/>
      <c r="G43" s="23"/>
      <c r="H43" s="23"/>
      <c r="I43" s="23"/>
      <c r="J43" s="23"/>
      <c r="K43" s="23"/>
      <c r="L43" s="23"/>
      <c r="M43" s="23"/>
      <c r="N43" s="27"/>
      <c r="O43" s="23"/>
      <c r="P43" s="27"/>
      <c r="Q43" s="27"/>
      <c r="R43" s="27"/>
    </row>
    <row r="44" spans="1:18" x14ac:dyDescent="0.25">
      <c r="A44" s="876"/>
      <c r="B44" s="4"/>
      <c r="C44" s="23"/>
      <c r="D44" s="23"/>
      <c r="E44" s="23"/>
      <c r="F44" s="23"/>
      <c r="G44" s="23"/>
      <c r="H44" s="23"/>
      <c r="I44" s="23"/>
      <c r="J44" s="23"/>
      <c r="K44" s="23"/>
      <c r="L44" s="23"/>
      <c r="M44" s="23"/>
      <c r="N44" s="27"/>
      <c r="O44" s="23"/>
      <c r="P44" s="27"/>
      <c r="Q44" s="27"/>
      <c r="R44" s="27"/>
    </row>
    <row r="45" spans="1:18" x14ac:dyDescent="0.25">
      <c r="A45" s="876"/>
      <c r="B45" s="4"/>
      <c r="C45" s="23"/>
      <c r="D45" s="23"/>
      <c r="E45" s="23"/>
      <c r="F45" s="23"/>
      <c r="G45" s="23"/>
      <c r="H45" s="23"/>
      <c r="I45" s="23"/>
      <c r="J45" s="23"/>
      <c r="K45" s="23"/>
      <c r="L45" s="23"/>
      <c r="M45" s="23"/>
      <c r="N45" s="27"/>
      <c r="O45" s="23"/>
      <c r="P45" s="27"/>
      <c r="Q45" s="27"/>
      <c r="R45" s="27"/>
    </row>
    <row r="46" spans="1:18" x14ac:dyDescent="0.25">
      <c r="A46" s="876"/>
      <c r="B46" s="4"/>
      <c r="C46" s="23"/>
      <c r="D46" s="23"/>
      <c r="E46" s="23"/>
      <c r="F46" s="23"/>
      <c r="G46" s="23"/>
      <c r="H46" s="23"/>
      <c r="I46" s="23"/>
      <c r="J46" s="23"/>
      <c r="K46" s="23"/>
      <c r="L46" s="23"/>
      <c r="M46" s="23"/>
      <c r="N46" s="4"/>
      <c r="O46" s="23"/>
      <c r="P46" s="4"/>
      <c r="Q46" s="4"/>
      <c r="R46" s="4"/>
    </row>
    <row r="47" spans="1:18" x14ac:dyDescent="0.25">
      <c r="A47" s="876"/>
      <c r="B47" s="4"/>
      <c r="C47" s="23"/>
      <c r="D47" s="23"/>
      <c r="E47" s="23"/>
      <c r="F47" s="23"/>
      <c r="G47" s="23"/>
      <c r="H47" s="23"/>
      <c r="I47" s="23"/>
      <c r="J47" s="23"/>
      <c r="K47" s="23"/>
      <c r="L47" s="23"/>
      <c r="M47" s="23"/>
      <c r="N47" s="4"/>
      <c r="O47" s="23"/>
      <c r="P47" s="4"/>
      <c r="Q47" s="4"/>
      <c r="R47" s="4"/>
    </row>
    <row r="48" spans="1:18" x14ac:dyDescent="0.25">
      <c r="A48" s="876"/>
      <c r="B48" s="4"/>
      <c r="C48" s="23"/>
      <c r="D48" s="23"/>
      <c r="E48" s="23"/>
      <c r="F48" s="23"/>
      <c r="G48" s="23"/>
      <c r="H48" s="23"/>
      <c r="I48" s="23"/>
      <c r="J48" s="23"/>
      <c r="K48" s="23"/>
      <c r="L48" s="23"/>
      <c r="M48" s="23"/>
      <c r="N48" s="4"/>
      <c r="O48" s="23"/>
      <c r="P48" s="4"/>
      <c r="Q48" s="4"/>
      <c r="R48" s="4"/>
    </row>
    <row r="49" spans="1:18" x14ac:dyDescent="0.25">
      <c r="A49" s="876"/>
      <c r="B49" s="4"/>
      <c r="C49" s="23"/>
      <c r="D49" s="23"/>
      <c r="E49" s="23"/>
      <c r="F49" s="23"/>
      <c r="G49" s="23"/>
      <c r="H49" s="23"/>
      <c r="I49" s="23"/>
      <c r="J49" s="23"/>
      <c r="K49" s="23"/>
      <c r="L49" s="23"/>
      <c r="M49" s="23"/>
      <c r="N49" s="4"/>
      <c r="O49" s="23"/>
      <c r="P49" s="4"/>
      <c r="Q49" s="4"/>
      <c r="R49" s="4"/>
    </row>
    <row r="50" spans="1:18" x14ac:dyDescent="0.25">
      <c r="A50" s="876"/>
      <c r="B50" s="4"/>
      <c r="C50" s="23"/>
      <c r="D50" s="23"/>
      <c r="E50" s="23"/>
      <c r="F50" s="23"/>
      <c r="G50" s="23"/>
      <c r="H50" s="23"/>
      <c r="I50" s="23"/>
      <c r="J50" s="23"/>
      <c r="K50" s="23"/>
      <c r="L50" s="23"/>
      <c r="M50" s="23"/>
      <c r="N50" s="4"/>
      <c r="O50" s="23"/>
      <c r="P50" s="4"/>
      <c r="Q50" s="4"/>
      <c r="R50" s="4"/>
    </row>
    <row r="51" spans="1:18" x14ac:dyDescent="0.25">
      <c r="A51" s="876"/>
      <c r="B51" s="4"/>
      <c r="C51" s="23"/>
      <c r="D51" s="23"/>
      <c r="E51" s="23"/>
      <c r="F51" s="23"/>
      <c r="G51" s="23"/>
      <c r="H51" s="23"/>
      <c r="I51" s="23"/>
      <c r="J51" s="23"/>
      <c r="K51" s="23"/>
      <c r="L51" s="23"/>
      <c r="M51" s="23"/>
      <c r="N51" s="4"/>
      <c r="O51" s="23"/>
      <c r="P51" s="4"/>
      <c r="Q51" s="4"/>
      <c r="R51" s="4"/>
    </row>
    <row r="52" spans="1:18" x14ac:dyDescent="0.25">
      <c r="A52" s="876"/>
      <c r="B52" s="4"/>
      <c r="C52" s="23"/>
      <c r="D52" s="23"/>
      <c r="E52" s="23"/>
      <c r="F52" s="23"/>
      <c r="G52" s="23"/>
      <c r="H52" s="23"/>
      <c r="I52" s="23"/>
      <c r="J52" s="23"/>
      <c r="K52" s="23"/>
      <c r="L52" s="23"/>
      <c r="M52" s="23"/>
      <c r="N52" s="4"/>
      <c r="O52" s="23"/>
      <c r="P52" s="4"/>
      <c r="Q52" s="4"/>
      <c r="R52" s="4"/>
    </row>
    <row r="53" spans="1:18" x14ac:dyDescent="0.25">
      <c r="A53" s="876"/>
      <c r="B53" s="4"/>
      <c r="C53" s="23"/>
      <c r="D53" s="23"/>
      <c r="E53" s="23"/>
      <c r="F53" s="23"/>
      <c r="G53" s="23"/>
      <c r="H53" s="23"/>
      <c r="I53" s="23"/>
      <c r="J53" s="23"/>
      <c r="K53" s="23"/>
      <c r="L53" s="23"/>
      <c r="M53" s="23"/>
      <c r="N53" s="4"/>
      <c r="O53" s="23"/>
      <c r="P53" s="4"/>
      <c r="Q53" s="4"/>
      <c r="R53" s="4"/>
    </row>
    <row r="54" spans="1:18" x14ac:dyDescent="0.25">
      <c r="A54" s="876"/>
      <c r="B54" s="4"/>
      <c r="C54" s="23"/>
      <c r="D54" s="23"/>
      <c r="E54" s="23"/>
      <c r="F54" s="23"/>
      <c r="G54" s="23"/>
      <c r="H54" s="23"/>
      <c r="I54" s="23"/>
      <c r="J54" s="23"/>
      <c r="K54" s="23"/>
      <c r="L54" s="23"/>
      <c r="M54" s="23"/>
      <c r="N54" s="4"/>
      <c r="O54" s="23"/>
      <c r="P54" s="4"/>
      <c r="Q54" s="4"/>
      <c r="R54" s="4"/>
    </row>
    <row r="55" spans="1:18" x14ac:dyDescent="0.25">
      <c r="A55" s="876"/>
      <c r="B55" s="4"/>
      <c r="C55" s="23"/>
      <c r="D55" s="23"/>
      <c r="E55" s="23"/>
      <c r="F55" s="23"/>
      <c r="G55" s="23"/>
      <c r="H55" s="23"/>
      <c r="I55" s="23"/>
      <c r="J55" s="23"/>
      <c r="K55" s="23"/>
      <c r="L55" s="23"/>
      <c r="M55" s="23"/>
      <c r="N55" s="4"/>
      <c r="O55" s="23"/>
      <c r="P55" s="4"/>
      <c r="Q55" s="4"/>
      <c r="R55" s="4"/>
    </row>
    <row r="56" spans="1:18" x14ac:dyDescent="0.25">
      <c r="A56" s="876"/>
      <c r="B56" s="4"/>
      <c r="C56" s="23"/>
      <c r="D56" s="23"/>
      <c r="E56" s="23"/>
      <c r="F56" s="23"/>
      <c r="G56" s="23"/>
      <c r="H56" s="23"/>
      <c r="I56" s="23"/>
      <c r="J56" s="23"/>
      <c r="K56" s="23"/>
      <c r="L56" s="23"/>
      <c r="M56" s="23"/>
      <c r="N56" s="4"/>
      <c r="O56" s="23"/>
      <c r="P56" s="4"/>
      <c r="Q56" s="4"/>
      <c r="R56" s="4"/>
    </row>
    <row r="57" spans="1:18" x14ac:dyDescent="0.25">
      <c r="A57" s="876"/>
      <c r="B57" s="4"/>
      <c r="C57" s="23"/>
      <c r="D57" s="23"/>
      <c r="E57" s="23"/>
      <c r="F57" s="23"/>
      <c r="G57" s="23"/>
      <c r="H57" s="23"/>
      <c r="I57" s="23"/>
      <c r="J57" s="23"/>
      <c r="K57" s="23"/>
      <c r="L57" s="23"/>
      <c r="M57" s="23"/>
      <c r="N57" s="4"/>
      <c r="O57" s="23"/>
      <c r="P57" s="4"/>
      <c r="Q57" s="4"/>
      <c r="R57" s="4"/>
    </row>
    <row r="58" spans="1:18" x14ac:dyDescent="0.25">
      <c r="A58" s="876"/>
      <c r="B58" s="4"/>
      <c r="C58" s="23"/>
      <c r="D58" s="23"/>
      <c r="E58" s="23"/>
      <c r="F58" s="23"/>
      <c r="G58" s="23"/>
      <c r="H58" s="23"/>
      <c r="I58" s="23"/>
      <c r="J58" s="23"/>
      <c r="K58" s="23"/>
      <c r="L58" s="23"/>
      <c r="M58" s="23"/>
      <c r="N58" s="4"/>
      <c r="O58" s="23"/>
      <c r="P58" s="4"/>
      <c r="Q58" s="4"/>
      <c r="R58" s="4"/>
    </row>
    <row r="59" spans="1:18" x14ac:dyDescent="0.25">
      <c r="A59" s="876"/>
      <c r="B59" s="4"/>
      <c r="C59" s="23"/>
      <c r="D59" s="23"/>
      <c r="E59" s="23"/>
      <c r="F59" s="23"/>
      <c r="G59" s="23"/>
      <c r="H59" s="23"/>
      <c r="I59" s="23"/>
      <c r="J59" s="23"/>
      <c r="K59" s="23"/>
      <c r="L59" s="23"/>
      <c r="M59" s="23"/>
      <c r="N59" s="4"/>
      <c r="O59" s="23"/>
      <c r="P59" s="4"/>
      <c r="Q59" s="4"/>
      <c r="R59" s="4"/>
    </row>
    <row r="60" spans="1:18" x14ac:dyDescent="0.25">
      <c r="A60" s="876"/>
      <c r="B60" s="4"/>
      <c r="C60" s="23"/>
      <c r="D60" s="23"/>
      <c r="E60" s="23"/>
      <c r="F60" s="23"/>
      <c r="G60" s="23"/>
      <c r="H60" s="23"/>
      <c r="I60" s="23"/>
      <c r="J60" s="23"/>
      <c r="K60" s="23"/>
      <c r="L60" s="23"/>
      <c r="M60" s="23"/>
      <c r="N60" s="4"/>
      <c r="O60" s="23"/>
      <c r="P60" s="4"/>
      <c r="Q60" s="4"/>
      <c r="R60" s="4"/>
    </row>
    <row r="61" spans="1:18" x14ac:dyDescent="0.25">
      <c r="A61" s="876"/>
      <c r="B61" s="4"/>
      <c r="C61" s="23"/>
      <c r="D61" s="23"/>
      <c r="E61" s="23"/>
      <c r="F61" s="23"/>
      <c r="G61" s="23"/>
      <c r="H61" s="23"/>
      <c r="I61" s="23"/>
      <c r="J61" s="23"/>
      <c r="K61" s="23"/>
      <c r="L61" s="23"/>
      <c r="M61" s="23"/>
      <c r="N61" s="4"/>
      <c r="O61" s="23"/>
      <c r="P61" s="4"/>
      <c r="Q61" s="4"/>
      <c r="R61" s="4"/>
    </row>
    <row r="62" spans="1:18" x14ac:dyDescent="0.25">
      <c r="A62" s="876"/>
      <c r="B62" s="4"/>
      <c r="C62" s="23"/>
      <c r="D62" s="23"/>
      <c r="E62" s="23"/>
      <c r="F62" s="23"/>
      <c r="G62" s="23"/>
      <c r="H62" s="23"/>
      <c r="I62" s="23"/>
      <c r="J62" s="23"/>
      <c r="K62" s="23"/>
      <c r="L62" s="23"/>
      <c r="M62" s="23"/>
      <c r="N62" s="4"/>
      <c r="O62" s="23"/>
      <c r="P62" s="4"/>
      <c r="Q62" s="4"/>
      <c r="R62" s="4"/>
    </row>
    <row r="63" spans="1:18" x14ac:dyDescent="0.25">
      <c r="A63" s="876"/>
      <c r="B63" s="4"/>
      <c r="C63" s="23"/>
      <c r="D63" s="23"/>
      <c r="E63" s="23"/>
      <c r="F63" s="23"/>
      <c r="G63" s="23"/>
      <c r="H63" s="23"/>
      <c r="I63" s="23"/>
      <c r="J63" s="23"/>
      <c r="K63" s="23"/>
      <c r="L63" s="23"/>
      <c r="M63" s="23"/>
      <c r="N63" s="4"/>
      <c r="O63" s="23"/>
      <c r="P63" s="4"/>
      <c r="Q63" s="4"/>
      <c r="R63" s="4"/>
    </row>
    <row r="64" spans="1:18" x14ac:dyDescent="0.25">
      <c r="A64" s="876"/>
      <c r="B64" s="4"/>
      <c r="C64" s="23"/>
      <c r="D64" s="23"/>
      <c r="E64" s="23"/>
      <c r="F64" s="23"/>
      <c r="G64" s="23"/>
      <c r="H64" s="23"/>
      <c r="I64" s="23"/>
      <c r="J64" s="23"/>
      <c r="K64" s="23"/>
      <c r="L64" s="23"/>
      <c r="M64" s="23"/>
      <c r="N64" s="4"/>
      <c r="O64" s="23"/>
      <c r="P64" s="4"/>
      <c r="Q64" s="4"/>
      <c r="R64" s="4"/>
    </row>
    <row r="65" spans="1:18" x14ac:dyDescent="0.25">
      <c r="A65" s="876"/>
      <c r="B65" s="4"/>
      <c r="C65" s="23"/>
      <c r="D65" s="23"/>
      <c r="E65" s="23"/>
      <c r="F65" s="23"/>
      <c r="G65" s="23"/>
      <c r="H65" s="23"/>
      <c r="I65" s="23"/>
      <c r="J65" s="23"/>
      <c r="K65" s="23"/>
      <c r="L65" s="23"/>
      <c r="M65" s="23"/>
      <c r="N65" s="4"/>
      <c r="O65" s="23"/>
      <c r="P65" s="4"/>
      <c r="Q65" s="4"/>
      <c r="R65" s="4"/>
    </row>
    <row r="66" spans="1:18" x14ac:dyDescent="0.25">
      <c r="A66" s="876"/>
      <c r="B66" s="4"/>
      <c r="C66" s="23"/>
      <c r="D66" s="23"/>
      <c r="E66" s="23"/>
      <c r="F66" s="23"/>
      <c r="G66" s="23"/>
      <c r="H66" s="23"/>
      <c r="I66" s="23"/>
      <c r="J66" s="23"/>
      <c r="K66" s="23"/>
      <c r="L66" s="23"/>
      <c r="M66" s="23"/>
      <c r="N66" s="4"/>
      <c r="O66" s="23"/>
      <c r="P66" s="4"/>
      <c r="Q66" s="4"/>
      <c r="R66" s="4"/>
    </row>
    <row r="67" spans="1:18" x14ac:dyDescent="0.25">
      <c r="A67" s="876"/>
      <c r="B67" s="4"/>
      <c r="C67" s="23"/>
      <c r="D67" s="23"/>
      <c r="E67" s="23"/>
      <c r="F67" s="23"/>
      <c r="G67" s="23"/>
      <c r="H67" s="23"/>
      <c r="I67" s="23"/>
      <c r="J67" s="23"/>
      <c r="K67" s="23"/>
      <c r="L67" s="23"/>
      <c r="M67" s="23"/>
      <c r="N67" s="4"/>
      <c r="O67" s="23"/>
      <c r="P67" s="4"/>
      <c r="Q67" s="4"/>
      <c r="R67" s="4"/>
    </row>
    <row r="68" spans="1:18" x14ac:dyDescent="0.25">
      <c r="A68" s="876"/>
      <c r="B68" s="4"/>
      <c r="C68" s="23"/>
      <c r="D68" s="23"/>
      <c r="E68" s="23"/>
      <c r="F68" s="23"/>
      <c r="G68" s="23"/>
      <c r="H68" s="23"/>
      <c r="I68" s="23"/>
      <c r="J68" s="23"/>
      <c r="K68" s="23"/>
      <c r="L68" s="23"/>
      <c r="M68" s="23"/>
      <c r="N68" s="4"/>
      <c r="O68" s="23"/>
      <c r="P68" s="4"/>
      <c r="Q68" s="4"/>
      <c r="R68" s="4"/>
    </row>
    <row r="69" spans="1:18" x14ac:dyDescent="0.25">
      <c r="A69" s="876"/>
      <c r="B69" s="4"/>
      <c r="C69" s="23"/>
      <c r="D69" s="23"/>
      <c r="E69" s="23"/>
      <c r="F69" s="23"/>
      <c r="G69" s="23"/>
      <c r="H69" s="23"/>
      <c r="I69" s="23"/>
      <c r="J69" s="23"/>
      <c r="K69" s="23"/>
      <c r="L69" s="23"/>
      <c r="M69" s="23"/>
      <c r="N69" s="4"/>
      <c r="O69" s="23"/>
      <c r="P69" s="4"/>
      <c r="Q69" s="4"/>
      <c r="R69" s="4"/>
    </row>
    <row r="70" spans="1:18" x14ac:dyDescent="0.25">
      <c r="A70" s="876"/>
      <c r="B70" s="4"/>
      <c r="C70" s="23"/>
      <c r="D70" s="23"/>
      <c r="E70" s="23"/>
      <c r="F70" s="23"/>
      <c r="G70" s="23"/>
      <c r="H70" s="23"/>
      <c r="I70" s="23"/>
      <c r="J70" s="23"/>
      <c r="K70" s="23"/>
      <c r="L70" s="23"/>
      <c r="M70" s="23"/>
      <c r="N70" s="4"/>
      <c r="O70" s="23"/>
      <c r="P70" s="4"/>
      <c r="Q70" s="4"/>
      <c r="R70" s="4"/>
    </row>
    <row r="71" spans="1:18" x14ac:dyDescent="0.25">
      <c r="A71" s="876"/>
      <c r="B71" s="4"/>
      <c r="C71" s="23"/>
      <c r="D71" s="23"/>
      <c r="E71" s="23"/>
      <c r="F71" s="23"/>
      <c r="G71" s="23"/>
      <c r="H71" s="23"/>
      <c r="I71" s="23"/>
      <c r="J71" s="23"/>
      <c r="K71" s="23"/>
      <c r="L71" s="23"/>
      <c r="M71" s="23"/>
      <c r="N71" s="4"/>
      <c r="O71" s="23"/>
      <c r="P71" s="4"/>
      <c r="Q71" s="4"/>
      <c r="R71" s="4"/>
    </row>
    <row r="72" spans="1:18" x14ac:dyDescent="0.25">
      <c r="A72" s="876"/>
      <c r="B72" s="4"/>
      <c r="C72" s="23"/>
      <c r="D72" s="23"/>
      <c r="E72" s="23"/>
      <c r="F72" s="23"/>
      <c r="G72" s="23"/>
      <c r="H72" s="23"/>
      <c r="I72" s="23"/>
      <c r="J72" s="23"/>
      <c r="K72" s="23"/>
      <c r="L72" s="23"/>
      <c r="M72" s="23"/>
      <c r="N72" s="4"/>
      <c r="O72" s="23"/>
      <c r="P72" s="4"/>
      <c r="Q72" s="4"/>
      <c r="R72" s="4"/>
    </row>
    <row r="73" spans="1:18" x14ac:dyDescent="0.25">
      <c r="A73" s="876"/>
      <c r="B73" s="4"/>
      <c r="C73" s="23"/>
      <c r="D73" s="23"/>
      <c r="E73" s="23"/>
      <c r="F73" s="23"/>
      <c r="G73" s="23"/>
      <c r="H73" s="23"/>
      <c r="I73" s="23"/>
      <c r="J73" s="23"/>
      <c r="K73" s="23"/>
      <c r="L73" s="23"/>
      <c r="M73" s="23"/>
      <c r="N73" s="4"/>
      <c r="O73" s="23"/>
      <c r="P73" s="4"/>
      <c r="Q73" s="4"/>
      <c r="R73" s="4"/>
    </row>
    <row r="74" spans="1:18" x14ac:dyDescent="0.25">
      <c r="A74" s="876"/>
      <c r="B74" s="4"/>
      <c r="C74" s="23"/>
      <c r="D74" s="23"/>
      <c r="E74" s="23"/>
      <c r="F74" s="23"/>
      <c r="G74" s="23"/>
      <c r="H74" s="23"/>
      <c r="I74" s="23"/>
      <c r="J74" s="23"/>
      <c r="K74" s="23"/>
      <c r="L74" s="23"/>
      <c r="M74" s="23"/>
      <c r="N74" s="4"/>
      <c r="O74" s="23"/>
      <c r="P74" s="4"/>
      <c r="Q74" s="4"/>
      <c r="R74" s="4"/>
    </row>
    <row r="75" spans="1:18" x14ac:dyDescent="0.25">
      <c r="A75" s="876"/>
      <c r="B75" s="4"/>
      <c r="C75" s="23"/>
      <c r="D75" s="23"/>
      <c r="E75" s="23"/>
      <c r="F75" s="23"/>
      <c r="G75" s="23"/>
      <c r="H75" s="23"/>
      <c r="I75" s="23"/>
      <c r="J75" s="23"/>
      <c r="K75" s="23"/>
      <c r="L75" s="23"/>
      <c r="M75" s="23"/>
      <c r="N75" s="4"/>
      <c r="O75" s="23"/>
      <c r="P75" s="4"/>
      <c r="Q75" s="4"/>
      <c r="R75" s="4"/>
    </row>
    <row r="76" spans="1:18" x14ac:dyDescent="0.25">
      <c r="A76" s="876"/>
      <c r="B76" s="4"/>
      <c r="C76" s="23"/>
      <c r="D76" s="23"/>
      <c r="E76" s="23"/>
      <c r="F76" s="23"/>
      <c r="G76" s="23"/>
      <c r="H76" s="23"/>
      <c r="I76" s="23"/>
      <c r="J76" s="23"/>
      <c r="K76" s="23"/>
      <c r="L76" s="23"/>
      <c r="M76" s="23"/>
      <c r="N76" s="4"/>
      <c r="O76" s="23"/>
      <c r="P76" s="4"/>
      <c r="Q76" s="4"/>
      <c r="R76" s="4"/>
    </row>
    <row r="77" spans="1:18" x14ac:dyDescent="0.25">
      <c r="A77" s="876"/>
      <c r="B77" s="4"/>
      <c r="C77" s="23"/>
      <c r="D77" s="23"/>
      <c r="E77" s="23"/>
      <c r="F77" s="23"/>
      <c r="G77" s="23"/>
      <c r="H77" s="23"/>
      <c r="I77" s="23"/>
      <c r="J77" s="23"/>
      <c r="K77" s="23"/>
      <c r="L77" s="23"/>
      <c r="M77" s="23"/>
      <c r="N77" s="4"/>
      <c r="O77" s="23"/>
      <c r="P77" s="4"/>
      <c r="Q77" s="4"/>
      <c r="R77" s="4"/>
    </row>
    <row r="78" spans="1:18" x14ac:dyDescent="0.25">
      <c r="A78" s="876"/>
      <c r="B78" s="4"/>
      <c r="C78" s="23"/>
      <c r="D78" s="23"/>
      <c r="E78" s="23"/>
      <c r="F78" s="23"/>
      <c r="G78" s="23"/>
      <c r="H78" s="23"/>
      <c r="I78" s="23"/>
      <c r="J78" s="23"/>
      <c r="K78" s="23"/>
      <c r="L78" s="23"/>
      <c r="M78" s="23"/>
      <c r="N78" s="4"/>
      <c r="O78" s="23"/>
      <c r="P78" s="4"/>
      <c r="Q78" s="4"/>
      <c r="R78" s="4"/>
    </row>
    <row r="79" spans="1:18" x14ac:dyDescent="0.25">
      <c r="A79" s="876"/>
      <c r="B79" s="4"/>
      <c r="C79" s="23"/>
      <c r="D79" s="23"/>
      <c r="E79" s="23"/>
      <c r="F79" s="23"/>
      <c r="G79" s="23"/>
      <c r="H79" s="23"/>
      <c r="I79" s="23"/>
      <c r="J79" s="23"/>
      <c r="K79" s="23"/>
      <c r="L79" s="23"/>
      <c r="M79" s="23"/>
      <c r="N79" s="4"/>
      <c r="O79" s="23"/>
      <c r="P79" s="4"/>
      <c r="Q79" s="4"/>
      <c r="R79" s="4"/>
    </row>
    <row r="80" spans="1:18" x14ac:dyDescent="0.25">
      <c r="A80" s="876"/>
      <c r="B80" s="4"/>
      <c r="C80" s="23"/>
      <c r="D80" s="23"/>
      <c r="E80" s="23"/>
      <c r="F80" s="23"/>
      <c r="G80" s="23"/>
      <c r="H80" s="23"/>
      <c r="I80" s="23"/>
      <c r="J80" s="23"/>
      <c r="K80" s="23"/>
      <c r="L80" s="23"/>
      <c r="M80" s="23"/>
      <c r="N80" s="4"/>
      <c r="O80" s="23"/>
      <c r="P80" s="4"/>
      <c r="Q80" s="4"/>
      <c r="R80" s="4"/>
    </row>
    <row r="81" spans="1:18" x14ac:dyDescent="0.25">
      <c r="A81" s="876"/>
      <c r="B81" s="4"/>
      <c r="C81" s="23"/>
      <c r="D81" s="23"/>
      <c r="E81" s="23"/>
      <c r="F81" s="23"/>
      <c r="G81" s="23"/>
      <c r="H81" s="23"/>
      <c r="I81" s="23"/>
      <c r="J81" s="23"/>
      <c r="K81" s="23"/>
      <c r="L81" s="23"/>
      <c r="M81" s="23"/>
      <c r="N81" s="4"/>
      <c r="O81" s="23"/>
      <c r="P81" s="4"/>
      <c r="Q81" s="4"/>
      <c r="R81" s="4"/>
    </row>
    <row r="82" spans="1:18" x14ac:dyDescent="0.25">
      <c r="A82" s="876"/>
      <c r="B82" s="4"/>
      <c r="C82" s="23"/>
      <c r="D82" s="23"/>
      <c r="E82" s="23"/>
      <c r="F82" s="23"/>
      <c r="G82" s="23"/>
      <c r="H82" s="23"/>
      <c r="I82" s="23"/>
      <c r="J82" s="23"/>
      <c r="K82" s="23"/>
      <c r="L82" s="23"/>
      <c r="M82" s="23"/>
      <c r="N82" s="4"/>
      <c r="O82" s="23"/>
      <c r="P82" s="4"/>
      <c r="Q82" s="4"/>
      <c r="R82" s="4"/>
    </row>
    <row r="83" spans="1:18" x14ac:dyDescent="0.25">
      <c r="A83" s="876"/>
      <c r="B83" s="4"/>
      <c r="C83" s="23"/>
      <c r="D83" s="23"/>
      <c r="E83" s="23"/>
      <c r="F83" s="23"/>
      <c r="G83" s="23"/>
      <c r="H83" s="23"/>
      <c r="I83" s="23"/>
      <c r="J83" s="23"/>
      <c r="K83" s="23"/>
      <c r="L83" s="23"/>
      <c r="M83" s="23"/>
      <c r="N83" s="4"/>
      <c r="O83" s="23"/>
      <c r="P83" s="4"/>
      <c r="Q83" s="4"/>
      <c r="R83" s="4"/>
    </row>
    <row r="84" spans="1:18" x14ac:dyDescent="0.25">
      <c r="A84" s="876"/>
      <c r="B84" s="4"/>
      <c r="C84" s="23"/>
      <c r="D84" s="23"/>
      <c r="E84" s="23"/>
      <c r="F84" s="23"/>
      <c r="G84" s="23"/>
      <c r="H84" s="23"/>
      <c r="I84" s="23"/>
      <c r="J84" s="23"/>
      <c r="K84" s="23"/>
      <c r="L84" s="23"/>
      <c r="M84" s="23"/>
      <c r="N84" s="4"/>
      <c r="O84" s="23"/>
      <c r="P84" s="4"/>
      <c r="Q84" s="4"/>
      <c r="R84" s="4"/>
    </row>
    <row r="85" spans="1:18" x14ac:dyDescent="0.25">
      <c r="A85" s="876"/>
      <c r="B85" s="4"/>
      <c r="C85" s="23"/>
      <c r="D85" s="23"/>
      <c r="E85" s="23"/>
      <c r="F85" s="23"/>
      <c r="G85" s="23"/>
      <c r="H85" s="23"/>
      <c r="I85" s="23"/>
      <c r="J85" s="23"/>
      <c r="K85" s="23"/>
      <c r="L85" s="23"/>
      <c r="M85" s="23"/>
      <c r="N85" s="4"/>
      <c r="O85" s="23"/>
      <c r="P85" s="4"/>
      <c r="Q85" s="4"/>
      <c r="R85" s="4"/>
    </row>
    <row r="86" spans="1:18" x14ac:dyDescent="0.25">
      <c r="A86" s="876"/>
      <c r="B86" s="4"/>
      <c r="C86" s="23"/>
      <c r="D86" s="23"/>
      <c r="E86" s="23"/>
      <c r="F86" s="23"/>
      <c r="G86" s="23"/>
      <c r="H86" s="23"/>
      <c r="I86" s="23"/>
      <c r="J86" s="23"/>
      <c r="K86" s="23"/>
      <c r="L86" s="23"/>
      <c r="M86" s="23"/>
      <c r="N86" s="4"/>
      <c r="O86" s="23"/>
      <c r="P86" s="4"/>
      <c r="Q86" s="4"/>
      <c r="R86" s="4"/>
    </row>
    <row r="87" spans="1:18" x14ac:dyDescent="0.25">
      <c r="A87" s="876"/>
      <c r="B87" s="4"/>
      <c r="C87" s="23"/>
      <c r="D87" s="23"/>
      <c r="E87" s="23"/>
      <c r="F87" s="23"/>
      <c r="G87" s="23"/>
      <c r="H87" s="23"/>
      <c r="I87" s="23"/>
      <c r="J87" s="23"/>
      <c r="K87" s="23"/>
      <c r="L87" s="23"/>
      <c r="M87" s="23"/>
      <c r="N87" s="4"/>
      <c r="O87" s="23"/>
      <c r="P87" s="4"/>
      <c r="Q87" s="4"/>
      <c r="R87" s="4"/>
    </row>
    <row r="88" spans="1:18" x14ac:dyDescent="0.25">
      <c r="A88" s="876"/>
      <c r="B88" s="4"/>
      <c r="C88" s="23"/>
      <c r="D88" s="23"/>
      <c r="E88" s="23"/>
      <c r="F88" s="23"/>
      <c r="G88" s="23"/>
      <c r="H88" s="23"/>
      <c r="I88" s="23"/>
      <c r="J88" s="23"/>
      <c r="K88" s="23"/>
      <c r="L88" s="23"/>
      <c r="M88" s="23"/>
      <c r="N88" s="4"/>
      <c r="O88" s="23"/>
      <c r="P88" s="4"/>
      <c r="Q88" s="4"/>
      <c r="R88" s="4"/>
    </row>
    <row r="89" spans="1:18" x14ac:dyDescent="0.25">
      <c r="A89" s="876"/>
      <c r="B89" s="4"/>
      <c r="C89" s="23"/>
      <c r="D89" s="23"/>
      <c r="E89" s="23"/>
      <c r="F89" s="23"/>
      <c r="G89" s="23"/>
      <c r="H89" s="23"/>
      <c r="I89" s="23"/>
      <c r="J89" s="23"/>
      <c r="K89" s="23"/>
      <c r="L89" s="23"/>
      <c r="M89" s="23"/>
      <c r="N89" s="4"/>
      <c r="O89" s="23"/>
      <c r="P89" s="4"/>
      <c r="Q89" s="4"/>
      <c r="R89" s="4"/>
    </row>
    <row r="90" spans="1:18" x14ac:dyDescent="0.25">
      <c r="A90" s="876"/>
      <c r="B90" s="4"/>
      <c r="C90" s="23"/>
      <c r="D90" s="23"/>
      <c r="E90" s="23"/>
      <c r="F90" s="23"/>
      <c r="G90" s="23"/>
      <c r="H90" s="23"/>
      <c r="I90" s="23"/>
      <c r="J90" s="23"/>
      <c r="K90" s="23"/>
      <c r="L90" s="23"/>
      <c r="M90" s="23"/>
      <c r="N90" s="4"/>
      <c r="O90" s="23"/>
      <c r="P90" s="4"/>
      <c r="Q90" s="4"/>
      <c r="R90" s="4"/>
    </row>
    <row r="91" spans="1:18" x14ac:dyDescent="0.25">
      <c r="A91" s="876"/>
      <c r="B91" s="4"/>
      <c r="C91" s="23"/>
      <c r="D91" s="23"/>
      <c r="E91" s="23"/>
      <c r="F91" s="23"/>
      <c r="G91" s="23"/>
      <c r="H91" s="23"/>
      <c r="I91" s="23"/>
      <c r="J91" s="23"/>
      <c r="K91" s="23"/>
      <c r="L91" s="23"/>
      <c r="M91" s="23"/>
      <c r="N91" s="4"/>
      <c r="O91" s="23"/>
      <c r="P91" s="4"/>
      <c r="Q91" s="4"/>
      <c r="R91" s="4"/>
    </row>
    <row r="92" spans="1:18" x14ac:dyDescent="0.25">
      <c r="A92" s="876"/>
      <c r="B92" s="4"/>
      <c r="C92" s="23"/>
      <c r="D92" s="23"/>
      <c r="E92" s="23"/>
      <c r="F92" s="23"/>
      <c r="G92" s="23"/>
      <c r="H92" s="23"/>
      <c r="I92" s="23"/>
      <c r="J92" s="23"/>
      <c r="K92" s="23"/>
      <c r="L92" s="23"/>
      <c r="M92" s="23"/>
      <c r="N92" s="4"/>
      <c r="O92" s="23"/>
      <c r="P92" s="4"/>
      <c r="Q92" s="4"/>
      <c r="R92" s="4"/>
    </row>
    <row r="93" spans="1:18" x14ac:dyDescent="0.25">
      <c r="A93" s="876"/>
      <c r="B93" s="4"/>
      <c r="C93" s="23"/>
      <c r="D93" s="23"/>
      <c r="E93" s="23"/>
      <c r="F93" s="23"/>
      <c r="G93" s="23"/>
      <c r="H93" s="23"/>
      <c r="I93" s="23"/>
      <c r="J93" s="23"/>
      <c r="K93" s="23"/>
      <c r="L93" s="23"/>
      <c r="M93" s="23"/>
      <c r="N93" s="4"/>
      <c r="O93" s="23"/>
      <c r="P93" s="4"/>
      <c r="Q93" s="4"/>
      <c r="R93" s="4"/>
    </row>
    <row r="94" spans="1:18" x14ac:dyDescent="0.25">
      <c r="A94" s="876"/>
      <c r="B94" s="4"/>
      <c r="C94" s="23"/>
      <c r="D94" s="23"/>
      <c r="E94" s="23"/>
      <c r="F94" s="23"/>
      <c r="G94" s="23"/>
      <c r="H94" s="23"/>
      <c r="I94" s="23"/>
      <c r="J94" s="23"/>
      <c r="K94" s="23"/>
      <c r="L94" s="23"/>
      <c r="M94" s="23"/>
      <c r="N94" s="4"/>
      <c r="O94" s="23"/>
      <c r="P94" s="4"/>
      <c r="Q94" s="4"/>
      <c r="R94" s="4"/>
    </row>
    <row r="95" spans="1:18" x14ac:dyDescent="0.25">
      <c r="A95" s="876"/>
      <c r="B95" s="4"/>
      <c r="C95" s="23"/>
      <c r="D95" s="23"/>
      <c r="E95" s="23"/>
      <c r="F95" s="23"/>
      <c r="G95" s="23"/>
      <c r="H95" s="23"/>
      <c r="I95" s="23"/>
      <c r="J95" s="23"/>
      <c r="K95" s="23"/>
      <c r="L95" s="23"/>
      <c r="M95" s="23"/>
      <c r="N95" s="4"/>
      <c r="O95" s="23"/>
      <c r="P95" s="4"/>
      <c r="Q95" s="4"/>
      <c r="R95" s="4"/>
    </row>
    <row r="96" spans="1:18" x14ac:dyDescent="0.25">
      <c r="A96" s="876"/>
      <c r="B96" s="4"/>
      <c r="C96" s="23"/>
      <c r="D96" s="23"/>
      <c r="E96" s="23"/>
      <c r="F96" s="23"/>
      <c r="G96" s="23"/>
      <c r="H96" s="23"/>
      <c r="I96" s="23"/>
      <c r="J96" s="23"/>
      <c r="K96" s="23"/>
      <c r="L96" s="23"/>
      <c r="M96" s="23"/>
      <c r="N96" s="4"/>
      <c r="O96" s="23"/>
      <c r="P96" s="4"/>
      <c r="Q96" s="4"/>
      <c r="R96" s="4"/>
    </row>
    <row r="97" spans="1:18" x14ac:dyDescent="0.25">
      <c r="A97" s="876"/>
      <c r="B97" s="4"/>
      <c r="C97" s="23"/>
      <c r="D97" s="23"/>
      <c r="E97" s="23"/>
      <c r="F97" s="23"/>
      <c r="G97" s="23"/>
      <c r="H97" s="23"/>
      <c r="I97" s="23"/>
      <c r="J97" s="23"/>
      <c r="K97" s="23"/>
      <c r="L97" s="23"/>
      <c r="M97" s="23"/>
      <c r="N97" s="4"/>
      <c r="O97" s="23"/>
      <c r="P97" s="4"/>
      <c r="Q97" s="4"/>
      <c r="R97" s="4"/>
    </row>
    <row r="98" spans="1:18" x14ac:dyDescent="0.25">
      <c r="A98" s="876"/>
      <c r="B98" s="4"/>
      <c r="C98" s="23"/>
      <c r="D98" s="23"/>
      <c r="E98" s="23"/>
      <c r="F98" s="23"/>
      <c r="G98" s="23"/>
      <c r="H98" s="23"/>
      <c r="I98" s="23"/>
      <c r="J98" s="23"/>
      <c r="K98" s="23"/>
      <c r="L98" s="23"/>
      <c r="M98" s="23"/>
      <c r="N98" s="4"/>
      <c r="O98" s="23"/>
      <c r="P98" s="4"/>
      <c r="Q98" s="4"/>
      <c r="R98" s="4"/>
    </row>
    <row r="99" spans="1:18" x14ac:dyDescent="0.25">
      <c r="A99" s="876"/>
      <c r="B99" s="4"/>
      <c r="C99" s="23"/>
      <c r="D99" s="23"/>
      <c r="E99" s="23"/>
      <c r="F99" s="23"/>
      <c r="G99" s="23"/>
      <c r="H99" s="23"/>
      <c r="I99" s="23"/>
      <c r="J99" s="23"/>
      <c r="K99" s="23"/>
      <c r="L99" s="23"/>
      <c r="M99" s="23"/>
      <c r="N99" s="4"/>
      <c r="O99" s="23"/>
      <c r="P99" s="4"/>
      <c r="Q99" s="4"/>
      <c r="R99" s="4"/>
    </row>
    <row r="100" spans="1:18" x14ac:dyDescent="0.25">
      <c r="A100" s="876"/>
      <c r="B100" s="4"/>
      <c r="C100" s="23"/>
      <c r="D100" s="23"/>
      <c r="E100" s="23"/>
      <c r="F100" s="23"/>
      <c r="G100" s="23"/>
      <c r="H100" s="23"/>
      <c r="I100" s="23"/>
      <c r="J100" s="23"/>
      <c r="K100" s="23"/>
      <c r="L100" s="23"/>
      <c r="M100" s="23"/>
      <c r="N100" s="4"/>
      <c r="O100" s="23"/>
      <c r="P100" s="4"/>
      <c r="Q100" s="4"/>
      <c r="R100" s="4"/>
    </row>
    <row r="101" spans="1:18" x14ac:dyDescent="0.25">
      <c r="A101" s="876"/>
      <c r="B101" s="4"/>
      <c r="C101" s="23"/>
      <c r="D101" s="23"/>
      <c r="E101" s="23"/>
      <c r="F101" s="23"/>
      <c r="G101" s="23"/>
      <c r="H101" s="23"/>
      <c r="I101" s="23"/>
      <c r="J101" s="23"/>
      <c r="K101" s="23"/>
      <c r="L101" s="23"/>
      <c r="M101" s="23"/>
      <c r="N101" s="4"/>
      <c r="O101" s="23"/>
      <c r="P101" s="4"/>
      <c r="Q101" s="4"/>
      <c r="R101" s="4"/>
    </row>
    <row r="102" spans="1:18" x14ac:dyDescent="0.25">
      <c r="A102" s="876"/>
      <c r="B102" s="4"/>
      <c r="C102" s="23"/>
      <c r="D102" s="23"/>
      <c r="E102" s="23"/>
      <c r="F102" s="23"/>
      <c r="G102" s="23"/>
      <c r="H102" s="23"/>
      <c r="I102" s="23"/>
      <c r="J102" s="23"/>
      <c r="K102" s="23"/>
      <c r="L102" s="23"/>
      <c r="M102" s="23"/>
      <c r="N102" s="4"/>
      <c r="O102" s="23"/>
      <c r="P102" s="4"/>
      <c r="Q102" s="4"/>
      <c r="R102" s="4"/>
    </row>
    <row r="103" spans="1:18" x14ac:dyDescent="0.25">
      <c r="A103" s="876"/>
      <c r="B103" s="4"/>
      <c r="C103" s="23"/>
      <c r="D103" s="23"/>
      <c r="E103" s="23"/>
      <c r="F103" s="23"/>
      <c r="G103" s="23"/>
      <c r="H103" s="23"/>
      <c r="I103" s="23"/>
      <c r="J103" s="23"/>
      <c r="K103" s="23"/>
      <c r="L103" s="23"/>
      <c r="M103" s="23"/>
      <c r="N103" s="4"/>
      <c r="O103" s="23"/>
      <c r="P103" s="4"/>
      <c r="Q103" s="4"/>
      <c r="R103" s="4"/>
    </row>
    <row r="104" spans="1:18" x14ac:dyDescent="0.25">
      <c r="A104" s="876"/>
      <c r="B104" s="4"/>
      <c r="C104" s="23"/>
      <c r="D104" s="23"/>
      <c r="E104" s="23"/>
      <c r="F104" s="23"/>
      <c r="G104" s="23"/>
      <c r="H104" s="23"/>
      <c r="I104" s="23"/>
      <c r="J104" s="23"/>
      <c r="K104" s="23"/>
      <c r="L104" s="23"/>
      <c r="M104" s="23"/>
      <c r="N104" s="4"/>
      <c r="O104" s="23"/>
      <c r="P104" s="4"/>
      <c r="Q104" s="4"/>
      <c r="R104" s="4"/>
    </row>
    <row r="105" spans="1:18" x14ac:dyDescent="0.25">
      <c r="A105" s="876"/>
      <c r="B105" s="4"/>
      <c r="C105" s="23"/>
      <c r="D105" s="23"/>
      <c r="E105" s="23"/>
      <c r="F105" s="23"/>
      <c r="G105" s="23"/>
      <c r="H105" s="23"/>
      <c r="I105" s="23"/>
      <c r="J105" s="23"/>
      <c r="K105" s="23"/>
      <c r="L105" s="23"/>
      <c r="M105" s="23"/>
      <c r="N105" s="4"/>
      <c r="O105" s="23"/>
      <c r="P105" s="4"/>
      <c r="Q105" s="4"/>
      <c r="R105" s="4"/>
    </row>
    <row r="106" spans="1:18" x14ac:dyDescent="0.25">
      <c r="A106" s="876"/>
      <c r="B106" s="4"/>
      <c r="C106" s="23"/>
      <c r="D106" s="23"/>
      <c r="E106" s="23"/>
      <c r="F106" s="23"/>
      <c r="G106" s="23"/>
      <c r="H106" s="23"/>
      <c r="I106" s="23"/>
      <c r="J106" s="23"/>
      <c r="K106" s="23"/>
      <c r="L106" s="23"/>
      <c r="M106" s="23"/>
      <c r="N106" s="4"/>
      <c r="O106" s="23"/>
      <c r="P106" s="4"/>
      <c r="Q106" s="4"/>
      <c r="R106" s="4"/>
    </row>
    <row r="107" spans="1:18" x14ac:dyDescent="0.25">
      <c r="A107" s="876"/>
      <c r="B107" s="4"/>
      <c r="C107" s="23"/>
      <c r="D107" s="23"/>
      <c r="E107" s="23"/>
      <c r="F107" s="23"/>
      <c r="G107" s="23"/>
      <c r="H107" s="23"/>
      <c r="I107" s="23"/>
      <c r="J107" s="23"/>
      <c r="K107" s="23"/>
      <c r="L107" s="23"/>
      <c r="M107" s="23"/>
      <c r="N107" s="4"/>
      <c r="O107" s="23"/>
      <c r="P107" s="4"/>
      <c r="Q107" s="4"/>
      <c r="R107" s="4"/>
    </row>
    <row r="108" spans="1:18" x14ac:dyDescent="0.25">
      <c r="A108" s="876"/>
      <c r="B108" s="4"/>
      <c r="C108" s="23"/>
      <c r="D108" s="23"/>
      <c r="E108" s="23"/>
      <c r="F108" s="23"/>
      <c r="G108" s="23"/>
      <c r="H108" s="23"/>
      <c r="I108" s="23"/>
      <c r="J108" s="23"/>
      <c r="K108" s="23"/>
      <c r="L108" s="23"/>
      <c r="M108" s="23"/>
      <c r="N108" s="4"/>
      <c r="O108" s="23"/>
      <c r="P108" s="4"/>
      <c r="Q108" s="4"/>
      <c r="R108" s="4"/>
    </row>
    <row r="109" spans="1:18" x14ac:dyDescent="0.25">
      <c r="A109" s="876"/>
      <c r="B109" s="4"/>
      <c r="C109" s="23"/>
      <c r="D109" s="23"/>
      <c r="E109" s="23"/>
      <c r="F109" s="23"/>
      <c r="G109" s="23"/>
      <c r="H109" s="23"/>
      <c r="I109" s="23"/>
      <c r="J109" s="23"/>
      <c r="K109" s="23"/>
      <c r="L109" s="23"/>
      <c r="M109" s="23"/>
      <c r="N109" s="4"/>
      <c r="O109" s="23"/>
      <c r="P109" s="4"/>
      <c r="Q109" s="4"/>
      <c r="R109" s="4"/>
    </row>
    <row r="110" spans="1:18" x14ac:dyDescent="0.25">
      <c r="A110" s="876"/>
      <c r="B110" s="4"/>
      <c r="C110" s="23"/>
      <c r="D110" s="23"/>
      <c r="E110" s="23"/>
      <c r="F110" s="23"/>
      <c r="G110" s="23"/>
      <c r="H110" s="23"/>
      <c r="I110" s="23"/>
      <c r="J110" s="23"/>
      <c r="K110" s="23"/>
      <c r="L110" s="23"/>
      <c r="M110" s="23"/>
      <c r="N110" s="4"/>
      <c r="O110" s="23"/>
      <c r="P110" s="4"/>
      <c r="Q110" s="4"/>
      <c r="R110" s="4"/>
    </row>
    <row r="111" spans="1:18" x14ac:dyDescent="0.25">
      <c r="A111" s="876"/>
      <c r="B111" s="4"/>
      <c r="C111" s="23"/>
      <c r="D111" s="23"/>
      <c r="E111" s="23"/>
      <c r="F111" s="23"/>
      <c r="G111" s="23"/>
      <c r="H111" s="23"/>
      <c r="I111" s="23"/>
      <c r="J111" s="23"/>
      <c r="K111" s="23"/>
      <c r="L111" s="23"/>
      <c r="M111" s="23"/>
      <c r="N111" s="4"/>
      <c r="O111" s="23"/>
      <c r="P111" s="4"/>
      <c r="Q111" s="4"/>
      <c r="R111" s="4"/>
    </row>
    <row r="112" spans="1:18" x14ac:dyDescent="0.25">
      <c r="A112" s="876"/>
      <c r="B112" s="4"/>
      <c r="C112" s="23"/>
      <c r="D112" s="23"/>
      <c r="E112" s="23"/>
      <c r="F112" s="23"/>
      <c r="G112" s="23"/>
      <c r="H112" s="23"/>
      <c r="I112" s="23"/>
      <c r="J112" s="23"/>
      <c r="K112" s="23"/>
      <c r="L112" s="23"/>
      <c r="M112" s="23"/>
      <c r="N112" s="4"/>
      <c r="O112" s="23"/>
      <c r="P112" s="4"/>
      <c r="Q112" s="4"/>
      <c r="R112" s="4"/>
    </row>
    <row r="113" spans="1:18" x14ac:dyDescent="0.25">
      <c r="A113" s="876"/>
      <c r="B113" s="4"/>
      <c r="C113" s="23"/>
      <c r="D113" s="23"/>
      <c r="E113" s="23"/>
      <c r="F113" s="23"/>
      <c r="G113" s="23"/>
      <c r="H113" s="23"/>
      <c r="I113" s="23"/>
      <c r="J113" s="23"/>
      <c r="K113" s="23"/>
      <c r="L113" s="23"/>
      <c r="M113" s="23"/>
      <c r="N113" s="4"/>
      <c r="O113" s="23"/>
      <c r="P113" s="4"/>
      <c r="Q113" s="4"/>
      <c r="R113" s="4"/>
    </row>
    <row r="114" spans="1:18" x14ac:dyDescent="0.25">
      <c r="A114" s="876"/>
      <c r="B114" s="4"/>
      <c r="C114" s="23"/>
      <c r="D114" s="23"/>
      <c r="E114" s="23"/>
      <c r="F114" s="23"/>
      <c r="G114" s="23"/>
      <c r="H114" s="23"/>
      <c r="I114" s="23"/>
      <c r="J114" s="23"/>
      <c r="K114" s="23"/>
      <c r="L114" s="23"/>
      <c r="M114" s="23"/>
      <c r="N114" s="4"/>
      <c r="O114" s="23"/>
      <c r="P114" s="4"/>
      <c r="Q114" s="4"/>
      <c r="R114" s="4"/>
    </row>
    <row r="115" spans="1:18" x14ac:dyDescent="0.25">
      <c r="C115" s="114"/>
    </row>
    <row r="116" spans="1:18" x14ac:dyDescent="0.25">
      <c r="C116" s="114"/>
    </row>
    <row r="117" spans="1:18" x14ac:dyDescent="0.25">
      <c r="C117" s="114"/>
    </row>
    <row r="118" spans="1:18" x14ac:dyDescent="0.25">
      <c r="C118" s="114"/>
    </row>
    <row r="119" spans="1:18" x14ac:dyDescent="0.25">
      <c r="C119" s="114"/>
    </row>
    <row r="120" spans="1:18" x14ac:dyDescent="0.25">
      <c r="C120" s="114"/>
    </row>
    <row r="121" spans="1:18" x14ac:dyDescent="0.25">
      <c r="C121" s="114"/>
    </row>
    <row r="122" spans="1:18" x14ac:dyDescent="0.25">
      <c r="C122" s="114"/>
    </row>
    <row r="123" spans="1:18" x14ac:dyDescent="0.25">
      <c r="C123" s="114"/>
    </row>
    <row r="124" spans="1:18" x14ac:dyDescent="0.25">
      <c r="C124" s="114"/>
    </row>
    <row r="125" spans="1:18" x14ac:dyDescent="0.25">
      <c r="C125" s="114"/>
    </row>
    <row r="126" spans="1:18" x14ac:dyDescent="0.25">
      <c r="C126" s="114"/>
    </row>
    <row r="127" spans="1:18" x14ac:dyDescent="0.25">
      <c r="C127" s="114"/>
    </row>
    <row r="128" spans="1:18" x14ac:dyDescent="0.25">
      <c r="C128" s="114"/>
    </row>
    <row r="129" spans="3:3" x14ac:dyDescent="0.25">
      <c r="C129" s="114"/>
    </row>
    <row r="130" spans="3:3" x14ac:dyDescent="0.25">
      <c r="C130" s="114"/>
    </row>
    <row r="131" spans="3:3" x14ac:dyDescent="0.25">
      <c r="C131" s="114"/>
    </row>
    <row r="132" spans="3:3" x14ac:dyDescent="0.25">
      <c r="C132" s="114"/>
    </row>
    <row r="133" spans="3:3" x14ac:dyDescent="0.25">
      <c r="C133" s="114"/>
    </row>
    <row r="134" spans="3:3" x14ac:dyDescent="0.25">
      <c r="C134" s="114"/>
    </row>
    <row r="135" spans="3:3" x14ac:dyDescent="0.25">
      <c r="C135" s="114"/>
    </row>
    <row r="136" spans="3:3" x14ac:dyDescent="0.25">
      <c r="C136" s="114"/>
    </row>
    <row r="137" spans="3:3" x14ac:dyDescent="0.25">
      <c r="C137" s="114"/>
    </row>
    <row r="138" spans="3:3" x14ac:dyDescent="0.25">
      <c r="C138" s="114"/>
    </row>
    <row r="139" spans="3:3" x14ac:dyDescent="0.25">
      <c r="C139" s="114"/>
    </row>
    <row r="140" spans="3:3" x14ac:dyDescent="0.25">
      <c r="C140" s="114"/>
    </row>
    <row r="141" spans="3:3" x14ac:dyDescent="0.25">
      <c r="C141" s="114"/>
    </row>
    <row r="142" spans="3:3" x14ac:dyDescent="0.25">
      <c r="C142" s="114"/>
    </row>
    <row r="143" spans="3:3" x14ac:dyDescent="0.25">
      <c r="C143" s="114"/>
    </row>
    <row r="144" spans="3:3" x14ac:dyDescent="0.25">
      <c r="C144" s="114"/>
    </row>
    <row r="145" spans="3:3" x14ac:dyDescent="0.25">
      <c r="C145" s="114"/>
    </row>
    <row r="146" spans="3:3" x14ac:dyDescent="0.25">
      <c r="C146" s="114"/>
    </row>
    <row r="147" spans="3:3" x14ac:dyDescent="0.25">
      <c r="C147" s="114"/>
    </row>
    <row r="148" spans="3:3" x14ac:dyDescent="0.25">
      <c r="C148" s="114"/>
    </row>
    <row r="149" spans="3:3" x14ac:dyDescent="0.25">
      <c r="C149" s="114"/>
    </row>
    <row r="150" spans="3:3" x14ac:dyDescent="0.25">
      <c r="C150" s="114"/>
    </row>
    <row r="151" spans="3:3" x14ac:dyDescent="0.25">
      <c r="C151" s="114"/>
    </row>
    <row r="152" spans="3:3" x14ac:dyDescent="0.25">
      <c r="C152" s="114"/>
    </row>
    <row r="153" spans="3:3" x14ac:dyDescent="0.25">
      <c r="C153" s="114"/>
    </row>
    <row r="154" spans="3:3" x14ac:dyDescent="0.25">
      <c r="C154" s="114"/>
    </row>
    <row r="155" spans="3:3" x14ac:dyDescent="0.25">
      <c r="C155" s="114"/>
    </row>
    <row r="156" spans="3:3" x14ac:dyDescent="0.25">
      <c r="C156" s="114"/>
    </row>
    <row r="157" spans="3:3" x14ac:dyDescent="0.25">
      <c r="C157" s="114"/>
    </row>
    <row r="158" spans="3:3" x14ac:dyDescent="0.25">
      <c r="C158" s="114"/>
    </row>
    <row r="159" spans="3:3" x14ac:dyDescent="0.25">
      <c r="C159" s="114"/>
    </row>
    <row r="160" spans="3:3" x14ac:dyDescent="0.25">
      <c r="C160" s="114"/>
    </row>
    <row r="161" spans="3:3" x14ac:dyDescent="0.25">
      <c r="C161" s="114"/>
    </row>
    <row r="162" spans="3:3" x14ac:dyDescent="0.25">
      <c r="C162" s="114"/>
    </row>
    <row r="163" spans="3:3" x14ac:dyDescent="0.25">
      <c r="C163" s="114"/>
    </row>
    <row r="164" spans="3:3" x14ac:dyDescent="0.25">
      <c r="C164" s="114"/>
    </row>
    <row r="165" spans="3:3" x14ac:dyDescent="0.25">
      <c r="C165" s="114"/>
    </row>
    <row r="166" spans="3:3" x14ac:dyDescent="0.25">
      <c r="C166" s="114"/>
    </row>
    <row r="167" spans="3:3" x14ac:dyDescent="0.25">
      <c r="C167" s="114"/>
    </row>
  </sheetData>
  <phoneticPr fontId="0" type="noConversion"/>
  <hyperlinks>
    <hyperlink ref="A1" location="'Working Budget with funding det'!A1" display="Main " xr:uid="{00000000-0004-0000-0C00-000000000000}"/>
    <hyperlink ref="B1" location="'Table of Contents'!A1" display="TOC" xr:uid="{00000000-0004-0000-0C00-000001000000}"/>
  </hyperlinks>
  <pageMargins left="0.75" right="0.75" top="1" bottom="1" header="0.5" footer="0.5"/>
  <pageSetup orientation="landscape" horizontalDpi="300" verticalDpi="300" r:id="rId1"/>
  <headerFooter alignWithMargins="0">
    <oddFooter xml:space="preserve">&amp;L&amp;D     &amp;T&amp;C&amp;F&amp;R&amp;A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A1:S192"/>
  <sheetViews>
    <sheetView workbookViewId="0">
      <selection activeCell="P1" sqref="P1:P1048576"/>
    </sheetView>
  </sheetViews>
  <sheetFormatPr defaultRowHeight="13.2" x14ac:dyDescent="0.25"/>
  <cols>
    <col min="1" max="1" width="8.77734375" style="885"/>
    <col min="2" max="2" width="36.6640625" customWidth="1"/>
    <col min="3" max="3" width="14.44140625" style="1" hidden="1" customWidth="1"/>
    <col min="4" max="10" width="14.44140625" style="114" hidden="1" customWidth="1"/>
    <col min="11" max="13" width="14.44140625" style="114" customWidth="1"/>
    <col min="14" max="14" width="14.44140625" customWidth="1"/>
    <col min="15" max="15" width="14.44140625" style="1" customWidth="1"/>
    <col min="16" max="18" width="14.44140625" customWidth="1"/>
    <col min="19" max="19" width="14.6640625" style="2" customWidth="1"/>
  </cols>
  <sheetData>
    <row r="1" spans="1:18" x14ac:dyDescent="0.25">
      <c r="A1" s="874" t="s">
        <v>1021</v>
      </c>
      <c r="B1" s="371" t="s">
        <v>1348</v>
      </c>
    </row>
    <row r="2" spans="1:18" ht="13.8" x14ac:dyDescent="0.25">
      <c r="A2" s="875" t="s">
        <v>259</v>
      </c>
      <c r="B2" s="45"/>
      <c r="E2" s="141"/>
      <c r="I2" s="141" t="s">
        <v>257</v>
      </c>
      <c r="J2" s="141"/>
      <c r="K2" s="141"/>
      <c r="L2" s="141"/>
      <c r="M2" s="141"/>
      <c r="N2" s="61" t="s">
        <v>279</v>
      </c>
      <c r="P2" s="46" t="s">
        <v>477</v>
      </c>
    </row>
    <row r="3" spans="1:18" ht="13.8" thickBot="1" x14ac:dyDescent="0.3">
      <c r="A3" s="876"/>
      <c r="B3" s="4"/>
      <c r="C3" s="23"/>
      <c r="D3" s="23"/>
      <c r="E3" s="23"/>
      <c r="F3" s="23"/>
      <c r="G3" s="23"/>
      <c r="H3" s="23"/>
      <c r="I3" s="23"/>
      <c r="J3" s="23"/>
      <c r="K3" s="23"/>
      <c r="L3" s="23"/>
      <c r="M3" s="23"/>
      <c r="N3" s="4"/>
      <c r="O3" s="23"/>
      <c r="P3" s="4"/>
      <c r="R3" s="4"/>
    </row>
    <row r="4" spans="1:18" ht="13.8" thickTop="1" x14ac:dyDescent="0.25">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t="s">
        <v>910</v>
      </c>
    </row>
    <row r="5" spans="1:18" x14ac:dyDescent="0.25">
      <c r="A5" s="878"/>
      <c r="B5" s="209"/>
      <c r="C5" s="127"/>
      <c r="D5" s="87"/>
      <c r="E5" s="113"/>
      <c r="F5" s="87"/>
      <c r="G5" s="87"/>
      <c r="H5" s="113"/>
      <c r="I5" s="290"/>
      <c r="J5" s="290"/>
      <c r="K5" s="290"/>
      <c r="L5" s="290"/>
      <c r="M5" s="290"/>
      <c r="N5" s="113" t="s">
        <v>515</v>
      </c>
      <c r="O5" s="88" t="s">
        <v>7</v>
      </c>
      <c r="P5" s="203" t="s">
        <v>782</v>
      </c>
    </row>
    <row r="6" spans="1:18" x14ac:dyDescent="0.25">
      <c r="A6" s="878"/>
      <c r="B6" s="209"/>
      <c r="C6" s="127"/>
      <c r="D6" s="127"/>
      <c r="E6" s="127"/>
      <c r="F6" s="127"/>
      <c r="G6" s="127"/>
      <c r="H6" s="127"/>
      <c r="I6" s="88"/>
      <c r="J6" s="88"/>
      <c r="K6" s="88"/>
      <c r="L6" s="88"/>
      <c r="M6" s="88"/>
      <c r="N6" s="127"/>
      <c r="O6" s="88" t="s">
        <v>8</v>
      </c>
      <c r="P6" s="47" t="s">
        <v>543</v>
      </c>
    </row>
    <row r="7" spans="1:18"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44561</v>
      </c>
      <c r="O7" s="9" t="s">
        <v>9</v>
      </c>
      <c r="P7" s="9" t="s">
        <v>546</v>
      </c>
    </row>
    <row r="8" spans="1:18" ht="13.8" thickTop="1" x14ac:dyDescent="0.25">
      <c r="A8" s="908"/>
      <c r="B8" s="210"/>
      <c r="C8" s="132"/>
      <c r="D8" s="18"/>
      <c r="E8" s="18"/>
      <c r="F8" s="18"/>
      <c r="G8" s="18"/>
      <c r="H8" s="18"/>
      <c r="I8" s="18"/>
      <c r="J8" s="18"/>
      <c r="K8" s="19"/>
      <c r="L8" s="19"/>
      <c r="M8" s="19"/>
      <c r="N8" s="18"/>
      <c r="O8" s="19"/>
      <c r="P8" s="19"/>
    </row>
    <row r="9" spans="1:18" x14ac:dyDescent="0.25">
      <c r="A9" s="881"/>
      <c r="B9" s="63"/>
      <c r="C9" s="130"/>
      <c r="D9" s="13"/>
      <c r="E9" s="13"/>
      <c r="F9" s="13"/>
      <c r="G9" s="13"/>
      <c r="H9" s="13"/>
      <c r="I9" s="13"/>
      <c r="J9" s="13"/>
      <c r="K9" s="14"/>
      <c r="L9" s="14"/>
      <c r="M9" s="14"/>
      <c r="N9" s="13"/>
      <c r="O9" s="14"/>
      <c r="P9" s="14"/>
    </row>
    <row r="10" spans="1:18" ht="13.8" thickBot="1" x14ac:dyDescent="0.3">
      <c r="A10" s="881">
        <v>5780</v>
      </c>
      <c r="B10" s="63" t="s">
        <v>149</v>
      </c>
      <c r="C10" s="131">
        <v>44620</v>
      </c>
      <c r="D10" s="15">
        <v>24500</v>
      </c>
      <c r="E10" s="15">
        <v>41400</v>
      </c>
      <c r="F10" s="15">
        <v>55839.67</v>
      </c>
      <c r="G10" s="15">
        <v>58400.800000000003</v>
      </c>
      <c r="H10" s="15">
        <v>43309.74</v>
      </c>
      <c r="I10" s="15">
        <v>20200</v>
      </c>
      <c r="J10" s="15">
        <v>29700</v>
      </c>
      <c r="K10" s="16">
        <v>60000</v>
      </c>
      <c r="L10" s="16">
        <v>18500</v>
      </c>
      <c r="M10" s="16">
        <v>60000</v>
      </c>
      <c r="N10" s="15"/>
      <c r="O10" s="16">
        <v>50000</v>
      </c>
      <c r="P10" s="16"/>
    </row>
    <row r="11" spans="1:18" x14ac:dyDescent="0.25">
      <c r="A11" s="881"/>
      <c r="B11" s="64" t="s">
        <v>449</v>
      </c>
      <c r="C11" s="132">
        <f t="shared" ref="C11:O11" si="0">+C10</f>
        <v>44620</v>
      </c>
      <c r="D11" s="18">
        <f t="shared" si="0"/>
        <v>24500</v>
      </c>
      <c r="E11" s="18">
        <f t="shared" si="0"/>
        <v>41400</v>
      </c>
      <c r="F11" s="18">
        <f>+F10</f>
        <v>55839.67</v>
      </c>
      <c r="G11" s="18">
        <f>+G10</f>
        <v>58400.800000000003</v>
      </c>
      <c r="H11" s="18">
        <f>+H10</f>
        <v>43309.74</v>
      </c>
      <c r="I11" s="18">
        <f t="shared" si="0"/>
        <v>20200</v>
      </c>
      <c r="J11" s="18">
        <f t="shared" ref="J11" si="1">+J10</f>
        <v>29700</v>
      </c>
      <c r="K11" s="36">
        <f t="shared" ref="K11:M11" si="2">+K10</f>
        <v>60000</v>
      </c>
      <c r="L11" s="36">
        <f t="shared" si="2"/>
        <v>18500</v>
      </c>
      <c r="M11" s="36">
        <f t="shared" si="2"/>
        <v>60000</v>
      </c>
      <c r="N11" s="18">
        <f t="shared" si="0"/>
        <v>0</v>
      </c>
      <c r="O11" s="36">
        <f t="shared" si="0"/>
        <v>50000</v>
      </c>
      <c r="P11" s="36">
        <f>+P10</f>
        <v>0</v>
      </c>
    </row>
    <row r="12" spans="1:18" x14ac:dyDescent="0.25">
      <c r="A12" s="881"/>
      <c r="B12" s="63"/>
      <c r="C12" s="130"/>
      <c r="D12" s="13"/>
      <c r="E12" s="13"/>
      <c r="F12" s="13"/>
      <c r="G12" s="13"/>
      <c r="H12" s="13"/>
      <c r="I12" s="13"/>
      <c r="J12" s="13"/>
      <c r="K12" s="14"/>
      <c r="L12" s="14"/>
      <c r="M12" s="14"/>
      <c r="N12" s="13"/>
      <c r="O12" s="14"/>
      <c r="P12" s="14"/>
    </row>
    <row r="13" spans="1:18" x14ac:dyDescent="0.25">
      <c r="A13" s="881"/>
      <c r="B13" s="63"/>
      <c r="C13" s="130"/>
      <c r="D13" s="13"/>
      <c r="E13" s="13"/>
      <c r="F13" s="13"/>
      <c r="G13" s="13"/>
      <c r="H13" s="13"/>
      <c r="I13" s="13"/>
      <c r="J13" s="13"/>
      <c r="K13" s="14"/>
      <c r="L13" s="14"/>
      <c r="M13" s="14"/>
      <c r="N13" s="13"/>
      <c r="O13" s="14"/>
      <c r="P13" s="14"/>
    </row>
    <row r="14" spans="1:18" ht="13.8" thickBot="1" x14ac:dyDescent="0.3">
      <c r="A14" s="882"/>
      <c r="B14" s="723" t="s">
        <v>280</v>
      </c>
      <c r="C14" s="714">
        <f t="shared" ref="C14:O14" si="3">+C11</f>
        <v>44620</v>
      </c>
      <c r="D14" s="21">
        <f t="shared" si="3"/>
        <v>24500</v>
      </c>
      <c r="E14" s="21">
        <f>+E11</f>
        <v>41400</v>
      </c>
      <c r="F14" s="21">
        <f>+F11</f>
        <v>55839.67</v>
      </c>
      <c r="G14" s="21">
        <f>+G11</f>
        <v>58400.800000000003</v>
      </c>
      <c r="H14" s="21">
        <f>+H11</f>
        <v>43309.74</v>
      </c>
      <c r="I14" s="21">
        <f t="shared" si="3"/>
        <v>20200</v>
      </c>
      <c r="J14" s="21">
        <f t="shared" ref="J14" si="4">+J11</f>
        <v>29700</v>
      </c>
      <c r="K14" s="22">
        <f t="shared" ref="K14:M14" si="5">+K11</f>
        <v>60000</v>
      </c>
      <c r="L14" s="22">
        <f t="shared" si="5"/>
        <v>18500</v>
      </c>
      <c r="M14" s="22">
        <f t="shared" si="5"/>
        <v>60000</v>
      </c>
      <c r="N14" s="21">
        <f t="shared" si="3"/>
        <v>0</v>
      </c>
      <c r="O14" s="22">
        <f t="shared" si="3"/>
        <v>50000</v>
      </c>
      <c r="P14" s="22">
        <f>+O14</f>
        <v>50000</v>
      </c>
    </row>
    <row r="15" spans="1:18" ht="13.8" thickTop="1" x14ac:dyDescent="0.25">
      <c r="A15" s="876"/>
      <c r="B15" s="724"/>
      <c r="C15" s="24"/>
      <c r="D15" s="24"/>
      <c r="E15" s="24"/>
      <c r="F15" s="24"/>
      <c r="G15" s="24"/>
      <c r="H15" s="24"/>
      <c r="I15" s="24"/>
      <c r="J15" s="24"/>
      <c r="K15" s="24"/>
      <c r="L15" s="24"/>
      <c r="M15" s="24"/>
      <c r="N15" s="25"/>
      <c r="O15" s="24"/>
      <c r="P15" s="25"/>
      <c r="Q15" s="25"/>
      <c r="R15" s="25"/>
    </row>
    <row r="16" spans="1:18" x14ac:dyDescent="0.25">
      <c r="A16" s="66">
        <v>44539</v>
      </c>
      <c r="B16" s="724" t="s">
        <v>1349</v>
      </c>
      <c r="C16" s="23"/>
      <c r="D16" s="23"/>
      <c r="E16" s="23"/>
      <c r="F16" s="23"/>
      <c r="G16" s="23"/>
      <c r="H16" s="23"/>
      <c r="I16" s="23"/>
      <c r="J16" s="23"/>
      <c r="K16" s="23"/>
      <c r="L16" s="23"/>
      <c r="M16" s="23"/>
      <c r="N16" s="27"/>
      <c r="O16" s="325"/>
      <c r="P16" s="744"/>
      <c r="Q16" s="27"/>
      <c r="R16" s="27"/>
    </row>
    <row r="17" spans="1:18" x14ac:dyDescent="0.25">
      <c r="A17" s="876"/>
      <c r="B17" s="4"/>
      <c r="C17" s="23"/>
      <c r="D17" s="23"/>
      <c r="E17" s="23"/>
      <c r="F17" s="23"/>
      <c r="G17" s="23"/>
      <c r="H17" s="742"/>
      <c r="I17" s="742"/>
      <c r="J17" s="742"/>
      <c r="K17" s="202"/>
      <c r="L17" s="202"/>
      <c r="M17" s="202"/>
      <c r="N17" s="743"/>
      <c r="O17" s="24"/>
      <c r="P17" s="25"/>
      <c r="Q17" s="25"/>
      <c r="R17" s="25"/>
    </row>
    <row r="18" spans="1:18" x14ac:dyDescent="0.25">
      <c r="A18" s="876"/>
      <c r="B18" s="26"/>
      <c r="C18" s="24"/>
      <c r="D18" s="24"/>
      <c r="E18" s="24"/>
      <c r="F18" s="24"/>
      <c r="G18" s="24"/>
      <c r="H18" s="24"/>
      <c r="I18" s="24"/>
      <c r="J18" s="24"/>
      <c r="K18" s="24"/>
      <c r="L18" s="24"/>
      <c r="M18" s="24"/>
      <c r="N18" s="25"/>
      <c r="O18" s="24"/>
      <c r="P18" s="25"/>
      <c r="Q18" s="25"/>
      <c r="R18" s="25"/>
    </row>
    <row r="19" spans="1:18" x14ac:dyDescent="0.25">
      <c r="A19" s="876"/>
      <c r="B19" s="4"/>
      <c r="C19" s="24"/>
      <c r="D19" s="24"/>
      <c r="E19" s="24"/>
      <c r="F19" s="24"/>
      <c r="G19" s="24"/>
      <c r="H19" s="24"/>
      <c r="I19" s="24"/>
      <c r="J19" s="24"/>
      <c r="K19" s="24"/>
      <c r="L19" s="24"/>
      <c r="M19" s="24"/>
      <c r="N19" s="25"/>
      <c r="O19" s="24"/>
      <c r="P19" s="25"/>
      <c r="Q19" s="25"/>
      <c r="R19" s="25"/>
    </row>
    <row r="20" spans="1:18" x14ac:dyDescent="0.25">
      <c r="A20" s="876"/>
      <c r="B20" s="4"/>
      <c r="C20" s="24"/>
      <c r="D20" s="24"/>
      <c r="E20" s="24"/>
      <c r="F20" s="24"/>
      <c r="G20" s="24"/>
      <c r="H20" s="24"/>
      <c r="I20" s="24"/>
      <c r="J20" s="24"/>
      <c r="K20" s="24"/>
      <c r="L20" s="24"/>
      <c r="M20" s="24"/>
      <c r="N20" s="25"/>
      <c r="O20" s="24"/>
      <c r="P20" s="25"/>
      <c r="Q20" s="25"/>
      <c r="R20" s="25"/>
    </row>
    <row r="21" spans="1:18" x14ac:dyDescent="0.25">
      <c r="A21" s="876"/>
      <c r="B21" s="4"/>
      <c r="C21" s="24"/>
      <c r="D21" s="24"/>
      <c r="E21" s="24"/>
      <c r="F21" s="24"/>
      <c r="G21" s="24"/>
      <c r="H21" s="24"/>
      <c r="I21" s="24"/>
      <c r="J21" s="24"/>
      <c r="K21" s="24"/>
      <c r="L21" s="24"/>
      <c r="M21" s="24"/>
      <c r="N21" s="25"/>
      <c r="O21" s="24"/>
      <c r="P21" s="25"/>
      <c r="Q21" s="25"/>
      <c r="R21" s="25"/>
    </row>
    <row r="22" spans="1:18" x14ac:dyDescent="0.25">
      <c r="A22" s="876"/>
      <c r="B22" s="4"/>
      <c r="C22" s="24"/>
      <c r="D22" s="24"/>
      <c r="E22" s="24"/>
      <c r="F22" s="24"/>
      <c r="G22" s="24"/>
      <c r="H22" s="24"/>
      <c r="I22" s="24"/>
      <c r="J22" s="24"/>
      <c r="K22" s="24"/>
      <c r="L22" s="24"/>
      <c r="M22" s="24"/>
      <c r="N22" s="25"/>
      <c r="O22" s="24"/>
      <c r="P22" s="25"/>
      <c r="Q22" s="25"/>
      <c r="R22" s="25"/>
    </row>
    <row r="23" spans="1:18" x14ac:dyDescent="0.25">
      <c r="A23" s="876"/>
      <c r="B23" s="4"/>
      <c r="C23" s="24"/>
      <c r="D23" s="24"/>
      <c r="E23" s="24"/>
      <c r="F23" s="24"/>
      <c r="G23" s="24"/>
      <c r="H23" s="24"/>
      <c r="I23" s="24"/>
      <c r="J23" s="24"/>
      <c r="K23" s="24"/>
      <c r="L23" s="24"/>
      <c r="M23" s="24"/>
      <c r="N23" s="25"/>
      <c r="O23" s="24"/>
      <c r="P23" s="25"/>
      <c r="Q23" s="25"/>
      <c r="R23" s="25"/>
    </row>
    <row r="24" spans="1:18" x14ac:dyDescent="0.25">
      <c r="A24" s="876"/>
      <c r="B24" s="4"/>
      <c r="C24" s="24"/>
      <c r="D24" s="24"/>
      <c r="E24" s="24"/>
      <c r="F24" s="24"/>
      <c r="G24" s="24"/>
      <c r="H24" s="24"/>
      <c r="I24" s="24"/>
      <c r="J24" s="24"/>
      <c r="K24" s="24"/>
      <c r="L24" s="24"/>
      <c r="M24" s="24"/>
      <c r="N24" s="25"/>
      <c r="O24" s="24"/>
      <c r="P24" s="25"/>
      <c r="Q24" s="25"/>
      <c r="R24" s="25"/>
    </row>
    <row r="25" spans="1:18" x14ac:dyDescent="0.25">
      <c r="A25" s="876"/>
      <c r="B25" s="4"/>
      <c r="C25" s="24"/>
      <c r="D25" s="24"/>
      <c r="E25" s="24"/>
      <c r="F25" s="24"/>
      <c r="G25" s="24"/>
      <c r="H25" s="24"/>
      <c r="I25" s="24"/>
      <c r="J25" s="24"/>
      <c r="K25" s="24"/>
      <c r="L25" s="24"/>
      <c r="M25" s="24"/>
      <c r="N25" s="25"/>
      <c r="O25" s="24"/>
      <c r="P25" s="25"/>
      <c r="Q25" s="25"/>
      <c r="R25" s="25"/>
    </row>
    <row r="26" spans="1:18" x14ac:dyDescent="0.25">
      <c r="A26" s="876"/>
      <c r="B26" s="4"/>
      <c r="C26" s="24"/>
      <c r="D26" s="24"/>
      <c r="E26" s="24"/>
      <c r="F26" s="24"/>
      <c r="G26" s="24"/>
      <c r="H26" s="24"/>
      <c r="I26" s="24"/>
      <c r="J26" s="24"/>
      <c r="K26" s="24"/>
      <c r="L26" s="24"/>
      <c r="M26" s="24"/>
      <c r="N26" s="25"/>
      <c r="O26" s="24"/>
      <c r="P26" s="25"/>
      <c r="Q26" s="25"/>
      <c r="R26" s="25"/>
    </row>
    <row r="27" spans="1:18" x14ac:dyDescent="0.25">
      <c r="A27" s="876"/>
      <c r="B27" s="4"/>
      <c r="C27" s="23"/>
      <c r="D27" s="23"/>
      <c r="E27" s="23"/>
      <c r="F27" s="23"/>
      <c r="G27" s="23"/>
      <c r="H27" s="23"/>
      <c r="I27" s="23"/>
      <c r="J27" s="23"/>
      <c r="K27" s="23"/>
      <c r="L27" s="23"/>
      <c r="M27" s="23"/>
      <c r="N27" s="27"/>
      <c r="O27" s="23"/>
      <c r="P27" s="27"/>
      <c r="Q27" s="27"/>
      <c r="R27" s="27"/>
    </row>
    <row r="28" spans="1:18" x14ac:dyDescent="0.25">
      <c r="A28" s="876"/>
      <c r="B28" s="4"/>
      <c r="C28" s="23"/>
      <c r="D28" s="23"/>
      <c r="E28" s="23"/>
      <c r="F28" s="23"/>
      <c r="G28" s="23"/>
      <c r="H28" s="23"/>
      <c r="I28" s="23"/>
      <c r="J28" s="23"/>
      <c r="K28" s="23"/>
      <c r="L28" s="23"/>
      <c r="M28" s="23"/>
      <c r="N28" s="27"/>
      <c r="O28" s="23"/>
      <c r="P28" s="27"/>
      <c r="Q28" s="27"/>
      <c r="R28" s="27"/>
    </row>
    <row r="29" spans="1:18" x14ac:dyDescent="0.25">
      <c r="A29" s="876"/>
      <c r="B29" s="4"/>
      <c r="C29" s="23"/>
      <c r="D29" s="23"/>
      <c r="E29" s="23"/>
      <c r="F29" s="23"/>
      <c r="G29" s="23"/>
      <c r="H29" s="23"/>
      <c r="I29" s="23"/>
      <c r="J29" s="23"/>
      <c r="K29" s="23"/>
      <c r="L29" s="23"/>
      <c r="M29" s="23"/>
      <c r="N29" s="27"/>
      <c r="O29" s="23"/>
      <c r="P29" s="27"/>
      <c r="Q29" s="27"/>
      <c r="R29" s="27"/>
    </row>
    <row r="30" spans="1:18" x14ac:dyDescent="0.25">
      <c r="A30" s="876"/>
      <c r="B30" s="4"/>
      <c r="C30" s="23"/>
      <c r="D30" s="23"/>
      <c r="E30" s="23"/>
      <c r="F30" s="23"/>
      <c r="G30" s="23"/>
      <c r="H30" s="23"/>
      <c r="I30" s="23"/>
      <c r="J30" s="23"/>
      <c r="K30" s="23"/>
      <c r="L30" s="23"/>
      <c r="M30" s="23"/>
      <c r="N30" s="27"/>
      <c r="O30" s="23"/>
      <c r="P30" s="27"/>
      <c r="Q30" s="27"/>
      <c r="R30" s="27"/>
    </row>
    <row r="31" spans="1:18" x14ac:dyDescent="0.25">
      <c r="A31" s="876"/>
      <c r="B31" s="4"/>
      <c r="C31" s="23"/>
      <c r="D31" s="23"/>
      <c r="E31" s="23"/>
      <c r="F31" s="23"/>
      <c r="G31" s="23"/>
      <c r="H31" s="23"/>
      <c r="I31" s="23"/>
      <c r="J31" s="23"/>
      <c r="K31" s="23"/>
      <c r="L31" s="23"/>
      <c r="M31" s="23"/>
      <c r="N31" s="27"/>
      <c r="O31" s="23"/>
      <c r="P31" s="27"/>
      <c r="Q31" s="27"/>
      <c r="R31" s="27"/>
    </row>
    <row r="32" spans="1:18" x14ac:dyDescent="0.25">
      <c r="A32" s="876"/>
      <c r="B32" s="4"/>
      <c r="C32" s="23"/>
      <c r="D32" s="23"/>
      <c r="E32" s="23"/>
      <c r="F32" s="23"/>
      <c r="G32" s="23"/>
      <c r="H32" s="23"/>
      <c r="I32" s="23"/>
      <c r="J32" s="23"/>
      <c r="K32" s="23"/>
      <c r="L32" s="23"/>
      <c r="M32" s="23"/>
      <c r="N32" s="27"/>
      <c r="O32" s="23"/>
      <c r="P32" s="27"/>
      <c r="Q32" s="27"/>
      <c r="R32" s="27"/>
    </row>
    <row r="33" spans="1:18" x14ac:dyDescent="0.25">
      <c r="A33" s="876"/>
      <c r="B33" s="4"/>
      <c r="C33" s="23"/>
      <c r="D33" s="23"/>
      <c r="E33" s="23"/>
      <c r="F33" s="23"/>
      <c r="G33" s="23"/>
      <c r="H33" s="23"/>
      <c r="I33" s="23"/>
      <c r="J33" s="23"/>
      <c r="K33" s="23"/>
      <c r="L33" s="23"/>
      <c r="M33" s="23"/>
      <c r="N33" s="27"/>
      <c r="O33" s="23"/>
      <c r="P33" s="27"/>
      <c r="Q33" s="27"/>
      <c r="R33" s="27"/>
    </row>
    <row r="34" spans="1:18" x14ac:dyDescent="0.25">
      <c r="A34" s="876"/>
      <c r="B34" s="4"/>
      <c r="C34" s="23"/>
      <c r="D34" s="23"/>
      <c r="E34" s="23"/>
      <c r="F34" s="23"/>
      <c r="G34" s="23"/>
      <c r="H34" s="23"/>
      <c r="I34" s="23"/>
      <c r="J34" s="23"/>
      <c r="K34" s="23"/>
      <c r="L34" s="23"/>
      <c r="M34" s="23"/>
      <c r="N34" s="27"/>
      <c r="O34" s="23"/>
      <c r="P34" s="27"/>
      <c r="Q34" s="27"/>
      <c r="R34" s="27"/>
    </row>
    <row r="35" spans="1:18" x14ac:dyDescent="0.25">
      <c r="A35" s="876"/>
      <c r="B35" s="4"/>
      <c r="C35" s="23"/>
      <c r="D35" s="23"/>
      <c r="E35" s="23"/>
      <c r="F35" s="23"/>
      <c r="G35" s="23"/>
      <c r="H35" s="23"/>
      <c r="I35" s="23"/>
      <c r="J35" s="23"/>
      <c r="K35" s="23"/>
      <c r="L35" s="23"/>
      <c r="M35" s="23"/>
      <c r="N35" s="27"/>
      <c r="O35" s="23"/>
      <c r="P35" s="27"/>
      <c r="Q35" s="27"/>
      <c r="R35" s="27"/>
    </row>
    <row r="36" spans="1:18" x14ac:dyDescent="0.25">
      <c r="A36" s="876"/>
      <c r="B36" s="4"/>
      <c r="C36" s="23"/>
      <c r="D36" s="23"/>
      <c r="E36" s="23"/>
      <c r="F36" s="23"/>
      <c r="G36" s="23"/>
      <c r="H36" s="23"/>
      <c r="I36" s="23"/>
      <c r="J36" s="23"/>
      <c r="K36" s="23"/>
      <c r="L36" s="23"/>
      <c r="M36" s="23"/>
      <c r="N36" s="27"/>
      <c r="O36" s="23"/>
      <c r="P36" s="27"/>
      <c r="Q36" s="27"/>
      <c r="R36" s="27"/>
    </row>
    <row r="37" spans="1:18" x14ac:dyDescent="0.25">
      <c r="A37" s="876"/>
      <c r="B37" s="4"/>
      <c r="C37" s="23"/>
      <c r="D37" s="23"/>
      <c r="E37" s="23"/>
      <c r="F37" s="23"/>
      <c r="G37" s="23"/>
      <c r="H37" s="23"/>
      <c r="I37" s="23"/>
      <c r="J37" s="23"/>
      <c r="K37" s="23"/>
      <c r="L37" s="23"/>
      <c r="M37" s="23"/>
      <c r="N37" s="27"/>
      <c r="O37" s="23"/>
      <c r="P37" s="27"/>
      <c r="Q37" s="27"/>
      <c r="R37" s="27"/>
    </row>
    <row r="38" spans="1:18" x14ac:dyDescent="0.25">
      <c r="A38" s="876"/>
      <c r="B38" s="4"/>
      <c r="C38" s="23"/>
      <c r="D38" s="23"/>
      <c r="E38" s="23"/>
      <c r="F38" s="23"/>
      <c r="G38" s="23"/>
      <c r="H38" s="23"/>
      <c r="I38" s="23"/>
      <c r="J38" s="23"/>
      <c r="K38" s="23"/>
      <c r="L38" s="23"/>
      <c r="M38" s="23"/>
      <c r="N38" s="27"/>
      <c r="O38" s="23"/>
      <c r="P38" s="27"/>
      <c r="Q38" s="27"/>
      <c r="R38" s="27"/>
    </row>
    <row r="39" spans="1:18" x14ac:dyDescent="0.25">
      <c r="A39" s="876"/>
      <c r="B39" s="4"/>
      <c r="C39" s="23"/>
      <c r="D39" s="23"/>
      <c r="E39" s="23"/>
      <c r="F39" s="23"/>
      <c r="G39" s="23"/>
      <c r="H39" s="23"/>
      <c r="I39" s="23"/>
      <c r="J39" s="23"/>
      <c r="K39" s="23"/>
      <c r="L39" s="23"/>
      <c r="M39" s="23"/>
      <c r="N39" s="27"/>
      <c r="O39" s="23"/>
      <c r="P39" s="27"/>
      <c r="Q39" s="27"/>
      <c r="R39" s="27"/>
    </row>
    <row r="40" spans="1:18" x14ac:dyDescent="0.25">
      <c r="A40" s="876"/>
      <c r="B40" s="4"/>
      <c r="C40" s="23"/>
      <c r="D40" s="23"/>
      <c r="E40" s="23"/>
      <c r="F40" s="23"/>
      <c r="G40" s="23"/>
      <c r="H40" s="23"/>
      <c r="I40" s="23"/>
      <c r="J40" s="23"/>
      <c r="K40" s="23"/>
      <c r="L40" s="23"/>
      <c r="M40" s="23"/>
      <c r="N40" s="27"/>
      <c r="O40" s="23"/>
      <c r="P40" s="27"/>
      <c r="Q40" s="27"/>
      <c r="R40" s="27"/>
    </row>
    <row r="41" spans="1:18" x14ac:dyDescent="0.25">
      <c r="A41" s="876"/>
      <c r="B41" s="4"/>
      <c r="C41" s="23"/>
      <c r="D41" s="23"/>
      <c r="E41" s="23"/>
      <c r="F41" s="23"/>
      <c r="G41" s="23"/>
      <c r="H41" s="23"/>
      <c r="I41" s="23"/>
      <c r="J41" s="23"/>
      <c r="K41" s="23"/>
      <c r="L41" s="23"/>
      <c r="M41" s="23"/>
      <c r="N41" s="27"/>
      <c r="O41" s="23"/>
      <c r="P41" s="27"/>
      <c r="Q41" s="27"/>
      <c r="R41" s="27"/>
    </row>
    <row r="42" spans="1:18" x14ac:dyDescent="0.25">
      <c r="A42" s="876"/>
      <c r="B42" s="4"/>
      <c r="C42" s="23"/>
      <c r="D42" s="23"/>
      <c r="E42" s="23"/>
      <c r="F42" s="23"/>
      <c r="G42" s="23"/>
      <c r="H42" s="23"/>
      <c r="I42" s="23"/>
      <c r="J42" s="23"/>
      <c r="K42" s="23"/>
      <c r="L42" s="23"/>
      <c r="M42" s="23"/>
      <c r="N42" s="27"/>
      <c r="O42" s="23"/>
      <c r="P42" s="27"/>
      <c r="Q42" s="27"/>
      <c r="R42" s="27"/>
    </row>
    <row r="43" spans="1:18" x14ac:dyDescent="0.25">
      <c r="A43" s="876"/>
      <c r="B43" s="4"/>
      <c r="C43" s="23"/>
      <c r="D43" s="23"/>
      <c r="E43" s="23"/>
      <c r="F43" s="23"/>
      <c r="G43" s="23"/>
      <c r="H43" s="23"/>
      <c r="I43" s="23"/>
      <c r="J43" s="23"/>
      <c r="K43" s="23"/>
      <c r="L43" s="23"/>
      <c r="M43" s="23"/>
      <c r="N43" s="27"/>
      <c r="O43" s="23"/>
      <c r="P43" s="27"/>
      <c r="Q43" s="27"/>
      <c r="R43" s="27"/>
    </row>
    <row r="44" spans="1:18" x14ac:dyDescent="0.25">
      <c r="A44" s="876"/>
      <c r="B44" s="4"/>
      <c r="C44" s="23"/>
      <c r="D44" s="23"/>
      <c r="E44" s="23"/>
      <c r="F44" s="23"/>
      <c r="G44" s="23"/>
      <c r="H44" s="23"/>
      <c r="I44" s="23"/>
      <c r="J44" s="23"/>
      <c r="K44" s="23"/>
      <c r="L44" s="23"/>
      <c r="M44" s="23"/>
      <c r="N44" s="27"/>
      <c r="O44" s="23"/>
      <c r="P44" s="27"/>
      <c r="Q44" s="27"/>
      <c r="R44" s="27"/>
    </row>
    <row r="45" spans="1:18" x14ac:dyDescent="0.25">
      <c r="A45" s="876"/>
      <c r="B45" s="4"/>
      <c r="C45" s="23"/>
      <c r="D45" s="23"/>
      <c r="E45" s="23"/>
      <c r="F45" s="23"/>
      <c r="G45" s="23"/>
      <c r="H45" s="23"/>
      <c r="I45" s="23"/>
      <c r="J45" s="23"/>
      <c r="K45" s="23"/>
      <c r="L45" s="23"/>
      <c r="M45" s="23"/>
      <c r="N45" s="27"/>
      <c r="O45" s="23"/>
      <c r="P45" s="27"/>
      <c r="Q45" s="27"/>
      <c r="R45" s="27"/>
    </row>
    <row r="46" spans="1:18" x14ac:dyDescent="0.25">
      <c r="A46" s="876"/>
      <c r="B46" s="4"/>
      <c r="C46" s="23"/>
      <c r="D46" s="23"/>
      <c r="E46" s="23"/>
      <c r="F46" s="23"/>
      <c r="G46" s="23"/>
      <c r="H46" s="23"/>
      <c r="I46" s="23"/>
      <c r="J46" s="23"/>
      <c r="K46" s="23"/>
      <c r="L46" s="23"/>
      <c r="M46" s="23"/>
      <c r="N46" s="27"/>
      <c r="O46" s="23"/>
      <c r="P46" s="27"/>
      <c r="Q46" s="27"/>
      <c r="R46" s="27"/>
    </row>
    <row r="47" spans="1:18" x14ac:dyDescent="0.25">
      <c r="A47" s="876"/>
      <c r="B47" s="4"/>
      <c r="C47" s="23"/>
      <c r="D47" s="23"/>
      <c r="E47" s="23"/>
      <c r="F47" s="23"/>
      <c r="G47" s="23"/>
      <c r="H47" s="23"/>
      <c r="I47" s="23"/>
      <c r="J47" s="23"/>
      <c r="K47" s="23"/>
      <c r="L47" s="23"/>
      <c r="M47" s="23"/>
      <c r="N47" s="27"/>
      <c r="O47" s="23"/>
      <c r="P47" s="27"/>
      <c r="Q47" s="27"/>
      <c r="R47" s="27"/>
    </row>
    <row r="48" spans="1:18" x14ac:dyDescent="0.25">
      <c r="A48" s="876"/>
      <c r="B48" s="4"/>
      <c r="C48" s="23"/>
      <c r="D48" s="23"/>
      <c r="E48" s="23"/>
      <c r="F48" s="23"/>
      <c r="G48" s="23"/>
      <c r="H48" s="23"/>
      <c r="I48" s="23"/>
      <c r="J48" s="23"/>
      <c r="K48" s="23"/>
      <c r="L48" s="23"/>
      <c r="M48" s="23"/>
      <c r="N48" s="27"/>
      <c r="O48" s="23"/>
      <c r="P48" s="27"/>
      <c r="Q48" s="27"/>
      <c r="R48" s="27"/>
    </row>
    <row r="49" spans="1:18" x14ac:dyDescent="0.25">
      <c r="A49" s="876"/>
      <c r="B49" s="4"/>
      <c r="C49" s="23"/>
      <c r="D49" s="23"/>
      <c r="E49" s="23"/>
      <c r="F49" s="23"/>
      <c r="G49" s="23"/>
      <c r="H49" s="23"/>
      <c r="I49" s="23"/>
      <c r="J49" s="23"/>
      <c r="K49" s="23"/>
      <c r="L49" s="23"/>
      <c r="M49" s="23"/>
      <c r="N49" s="27"/>
      <c r="O49" s="23"/>
      <c r="P49" s="27"/>
      <c r="Q49" s="27"/>
      <c r="R49" s="27"/>
    </row>
    <row r="50" spans="1:18" x14ac:dyDescent="0.25">
      <c r="A50" s="876"/>
      <c r="B50" s="4"/>
      <c r="C50" s="23"/>
      <c r="D50" s="23"/>
      <c r="E50" s="23"/>
      <c r="F50" s="23"/>
      <c r="G50" s="23"/>
      <c r="H50" s="23"/>
      <c r="I50" s="23"/>
      <c r="J50" s="23"/>
      <c r="K50" s="23"/>
      <c r="L50" s="23"/>
      <c r="M50" s="23"/>
      <c r="N50" s="27"/>
      <c r="O50" s="23"/>
      <c r="P50" s="27"/>
      <c r="Q50" s="27"/>
      <c r="R50" s="27"/>
    </row>
    <row r="51" spans="1:18" x14ac:dyDescent="0.25">
      <c r="A51" s="876"/>
      <c r="B51" s="4"/>
      <c r="C51" s="23"/>
      <c r="D51" s="23"/>
      <c r="E51" s="23"/>
      <c r="F51" s="23"/>
      <c r="G51" s="23"/>
      <c r="H51" s="23"/>
      <c r="I51" s="23"/>
      <c r="J51" s="23"/>
      <c r="K51" s="23"/>
      <c r="L51" s="23"/>
      <c r="M51" s="23"/>
      <c r="N51" s="27"/>
      <c r="O51" s="23"/>
      <c r="P51" s="27"/>
      <c r="Q51" s="27"/>
      <c r="R51" s="27"/>
    </row>
    <row r="52" spans="1:18" x14ac:dyDescent="0.25">
      <c r="A52" s="876"/>
      <c r="B52" s="4"/>
      <c r="C52" s="23"/>
      <c r="D52" s="23"/>
      <c r="E52" s="23"/>
      <c r="F52" s="23"/>
      <c r="G52" s="23"/>
      <c r="H52" s="23"/>
      <c r="I52" s="23"/>
      <c r="J52" s="23"/>
      <c r="K52" s="23"/>
      <c r="L52" s="23"/>
      <c r="M52" s="23"/>
      <c r="N52" s="27"/>
      <c r="O52" s="23"/>
      <c r="P52" s="27"/>
      <c r="Q52" s="27"/>
      <c r="R52" s="27"/>
    </row>
    <row r="53" spans="1:18" x14ac:dyDescent="0.25">
      <c r="A53" s="876"/>
      <c r="B53" s="4"/>
      <c r="C53" s="23"/>
      <c r="D53" s="23"/>
      <c r="E53" s="23"/>
      <c r="F53" s="23"/>
      <c r="G53" s="23"/>
      <c r="H53" s="23"/>
      <c r="I53" s="23"/>
      <c r="J53" s="23"/>
      <c r="K53" s="23"/>
      <c r="L53" s="23"/>
      <c r="M53" s="23"/>
      <c r="N53" s="27"/>
      <c r="O53" s="23"/>
      <c r="P53" s="27"/>
      <c r="Q53" s="27"/>
      <c r="R53" s="27"/>
    </row>
    <row r="54" spans="1:18" x14ac:dyDescent="0.25">
      <c r="A54" s="876"/>
      <c r="B54" s="4"/>
      <c r="C54" s="23"/>
      <c r="D54" s="23"/>
      <c r="E54" s="23"/>
      <c r="F54" s="23"/>
      <c r="G54" s="23"/>
      <c r="H54" s="23"/>
      <c r="I54" s="23"/>
      <c r="J54" s="23"/>
      <c r="K54" s="23"/>
      <c r="L54" s="23"/>
      <c r="M54" s="23"/>
      <c r="N54" s="27"/>
      <c r="O54" s="23"/>
      <c r="P54" s="27"/>
      <c r="Q54" s="27"/>
      <c r="R54" s="27"/>
    </row>
    <row r="55" spans="1:18" x14ac:dyDescent="0.25">
      <c r="A55" s="876"/>
      <c r="B55" s="4"/>
      <c r="C55" s="23"/>
      <c r="D55" s="23"/>
      <c r="E55" s="23"/>
      <c r="F55" s="23"/>
      <c r="G55" s="23"/>
      <c r="H55" s="23"/>
      <c r="I55" s="23"/>
      <c r="J55" s="23"/>
      <c r="K55" s="23"/>
      <c r="L55" s="23"/>
      <c r="M55" s="23"/>
      <c r="N55" s="27"/>
      <c r="O55" s="23"/>
      <c r="P55" s="27"/>
      <c r="Q55" s="27"/>
      <c r="R55" s="27"/>
    </row>
    <row r="56" spans="1:18" x14ac:dyDescent="0.25">
      <c r="A56" s="876"/>
      <c r="B56" s="4"/>
      <c r="C56" s="23"/>
      <c r="D56" s="23"/>
      <c r="E56" s="23"/>
      <c r="F56" s="23"/>
      <c r="G56" s="23"/>
      <c r="H56" s="23"/>
      <c r="I56" s="23"/>
      <c r="J56" s="23"/>
      <c r="K56" s="23"/>
      <c r="L56" s="23"/>
      <c r="M56" s="23"/>
      <c r="N56" s="27"/>
      <c r="O56" s="23"/>
      <c r="P56" s="27"/>
      <c r="Q56" s="27"/>
      <c r="R56" s="27"/>
    </row>
    <row r="57" spans="1:18" x14ac:dyDescent="0.25">
      <c r="A57" s="876"/>
      <c r="B57" s="4"/>
      <c r="C57" s="23"/>
      <c r="D57" s="23"/>
      <c r="E57" s="23"/>
      <c r="F57" s="23"/>
      <c r="G57" s="23"/>
      <c r="H57" s="23"/>
      <c r="I57" s="23"/>
      <c r="J57" s="23"/>
      <c r="K57" s="23"/>
      <c r="L57" s="23"/>
      <c r="M57" s="23"/>
      <c r="N57" s="27"/>
      <c r="O57" s="23"/>
      <c r="P57" s="27"/>
      <c r="Q57" s="27"/>
      <c r="R57" s="27"/>
    </row>
    <row r="58" spans="1:18" x14ac:dyDescent="0.25">
      <c r="A58" s="876"/>
      <c r="B58" s="4"/>
      <c r="C58" s="23"/>
      <c r="D58" s="23"/>
      <c r="E58" s="23"/>
      <c r="F58" s="23"/>
      <c r="G58" s="23"/>
      <c r="H58" s="23"/>
      <c r="I58" s="23"/>
      <c r="J58" s="23"/>
      <c r="K58" s="23"/>
      <c r="L58" s="23"/>
      <c r="M58" s="23"/>
      <c r="N58" s="27"/>
      <c r="O58" s="23"/>
      <c r="P58" s="27"/>
      <c r="Q58" s="27"/>
      <c r="R58" s="27"/>
    </row>
    <row r="59" spans="1:18" x14ac:dyDescent="0.25">
      <c r="A59" s="876"/>
      <c r="B59" s="4"/>
      <c r="C59" s="23"/>
      <c r="D59" s="23"/>
      <c r="E59" s="23"/>
      <c r="F59" s="23"/>
      <c r="G59" s="23"/>
      <c r="H59" s="23"/>
      <c r="I59" s="23"/>
      <c r="J59" s="23"/>
      <c r="K59" s="23"/>
      <c r="L59" s="23"/>
      <c r="M59" s="23"/>
      <c r="N59" s="27"/>
      <c r="O59" s="23"/>
      <c r="P59" s="27"/>
      <c r="Q59" s="27"/>
      <c r="R59" s="27"/>
    </row>
    <row r="60" spans="1:18" x14ac:dyDescent="0.25">
      <c r="A60" s="876"/>
      <c r="B60" s="4"/>
      <c r="C60" s="23"/>
      <c r="D60" s="23"/>
      <c r="E60" s="23"/>
      <c r="F60" s="23"/>
      <c r="G60" s="23"/>
      <c r="H60" s="23"/>
      <c r="I60" s="23"/>
      <c r="J60" s="23"/>
      <c r="K60" s="23"/>
      <c r="L60" s="23"/>
      <c r="M60" s="23"/>
      <c r="N60" s="27"/>
      <c r="O60" s="23"/>
      <c r="P60" s="27"/>
      <c r="Q60" s="27"/>
      <c r="R60" s="27"/>
    </row>
    <row r="61" spans="1:18" x14ac:dyDescent="0.25">
      <c r="A61" s="876"/>
      <c r="B61" s="4"/>
      <c r="C61" s="23"/>
      <c r="D61" s="23"/>
      <c r="E61" s="23"/>
      <c r="F61" s="23"/>
      <c r="G61" s="23"/>
      <c r="H61" s="23"/>
      <c r="I61" s="23"/>
      <c r="J61" s="23"/>
      <c r="K61" s="23"/>
      <c r="L61" s="23"/>
      <c r="M61" s="23"/>
      <c r="N61" s="27"/>
      <c r="O61" s="23"/>
      <c r="P61" s="27"/>
      <c r="Q61" s="27"/>
      <c r="R61" s="27"/>
    </row>
    <row r="62" spans="1:18" x14ac:dyDescent="0.25">
      <c r="A62" s="876"/>
      <c r="B62" s="4"/>
      <c r="C62" s="23"/>
      <c r="D62" s="23"/>
      <c r="E62" s="23"/>
      <c r="F62" s="23"/>
      <c r="G62" s="23"/>
      <c r="H62" s="23"/>
      <c r="I62" s="23"/>
      <c r="J62" s="23"/>
      <c r="K62" s="23"/>
      <c r="L62" s="23"/>
      <c r="M62" s="23"/>
      <c r="N62" s="27"/>
      <c r="O62" s="23"/>
      <c r="P62" s="27"/>
      <c r="Q62" s="27"/>
      <c r="R62" s="27"/>
    </row>
    <row r="63" spans="1:18" x14ac:dyDescent="0.25">
      <c r="A63" s="876"/>
      <c r="B63" s="4"/>
      <c r="C63" s="23"/>
      <c r="D63" s="23"/>
      <c r="E63" s="23"/>
      <c r="F63" s="23"/>
      <c r="G63" s="23"/>
      <c r="H63" s="23"/>
      <c r="I63" s="23"/>
      <c r="J63" s="23"/>
      <c r="K63" s="23"/>
      <c r="L63" s="23"/>
      <c r="M63" s="23"/>
      <c r="N63" s="27"/>
      <c r="O63" s="23"/>
      <c r="P63" s="27"/>
      <c r="Q63" s="27"/>
      <c r="R63" s="27"/>
    </row>
    <row r="64" spans="1:18" x14ac:dyDescent="0.25">
      <c r="A64" s="876"/>
      <c r="B64" s="4"/>
      <c r="C64" s="23"/>
      <c r="D64" s="23"/>
      <c r="E64" s="23"/>
      <c r="F64" s="23"/>
      <c r="G64" s="23"/>
      <c r="H64" s="23"/>
      <c r="I64" s="23"/>
      <c r="J64" s="23"/>
      <c r="K64" s="23"/>
      <c r="L64" s="23"/>
      <c r="M64" s="23"/>
      <c r="N64" s="27"/>
      <c r="O64" s="23"/>
      <c r="P64" s="27"/>
      <c r="Q64" s="27"/>
      <c r="R64" s="27"/>
    </row>
    <row r="65" spans="1:18" x14ac:dyDescent="0.25">
      <c r="A65" s="876"/>
      <c r="B65" s="4"/>
      <c r="C65" s="23"/>
      <c r="D65" s="23"/>
      <c r="E65" s="23"/>
      <c r="F65" s="23"/>
      <c r="G65" s="23"/>
      <c r="H65" s="23"/>
      <c r="I65" s="23"/>
      <c r="J65" s="23"/>
      <c r="K65" s="23"/>
      <c r="L65" s="23"/>
      <c r="M65" s="23"/>
      <c r="N65" s="27"/>
      <c r="O65" s="23"/>
      <c r="P65" s="27"/>
      <c r="Q65" s="27"/>
      <c r="R65" s="27"/>
    </row>
    <row r="66" spans="1:18" x14ac:dyDescent="0.25">
      <c r="A66" s="876"/>
      <c r="B66" s="4"/>
      <c r="C66" s="23"/>
      <c r="D66" s="23"/>
      <c r="E66" s="23"/>
      <c r="F66" s="23"/>
      <c r="G66" s="23"/>
      <c r="H66" s="23"/>
      <c r="I66" s="23"/>
      <c r="J66" s="23"/>
      <c r="K66" s="23"/>
      <c r="L66" s="23"/>
      <c r="M66" s="23"/>
      <c r="N66" s="27"/>
      <c r="O66" s="23"/>
      <c r="P66" s="27"/>
      <c r="Q66" s="27"/>
      <c r="R66" s="27"/>
    </row>
    <row r="67" spans="1:18" x14ac:dyDescent="0.25">
      <c r="A67" s="876"/>
      <c r="B67" s="4"/>
      <c r="C67" s="23"/>
      <c r="D67" s="23"/>
      <c r="E67" s="23"/>
      <c r="F67" s="23"/>
      <c r="G67" s="23"/>
      <c r="H67" s="23"/>
      <c r="I67" s="23"/>
      <c r="J67" s="23"/>
      <c r="K67" s="23"/>
      <c r="L67" s="23"/>
      <c r="M67" s="23"/>
      <c r="N67" s="27"/>
      <c r="O67" s="23"/>
      <c r="P67" s="27"/>
      <c r="Q67" s="27"/>
      <c r="R67" s="27"/>
    </row>
    <row r="68" spans="1:18" x14ac:dyDescent="0.25">
      <c r="A68" s="876"/>
      <c r="B68" s="4"/>
      <c r="C68" s="23"/>
      <c r="D68" s="23"/>
      <c r="E68" s="23"/>
      <c r="F68" s="23"/>
      <c r="G68" s="23"/>
      <c r="H68" s="23"/>
      <c r="I68" s="23"/>
      <c r="J68" s="23"/>
      <c r="K68" s="23"/>
      <c r="L68" s="23"/>
      <c r="M68" s="23"/>
      <c r="N68" s="27"/>
      <c r="O68" s="23"/>
      <c r="P68" s="27"/>
      <c r="Q68" s="27"/>
      <c r="R68" s="27"/>
    </row>
    <row r="69" spans="1:18" x14ac:dyDescent="0.25">
      <c r="A69" s="876"/>
      <c r="B69" s="4"/>
      <c r="C69" s="23"/>
      <c r="D69" s="23"/>
      <c r="E69" s="23"/>
      <c r="F69" s="23"/>
      <c r="G69" s="23"/>
      <c r="H69" s="23"/>
      <c r="I69" s="23"/>
      <c r="J69" s="23"/>
      <c r="K69" s="23"/>
      <c r="L69" s="23"/>
      <c r="M69" s="23"/>
      <c r="N69" s="27"/>
      <c r="O69" s="23"/>
      <c r="P69" s="27"/>
      <c r="Q69" s="27"/>
      <c r="R69" s="27"/>
    </row>
    <row r="70" spans="1:18" x14ac:dyDescent="0.25">
      <c r="A70" s="876"/>
      <c r="B70" s="4"/>
      <c r="C70" s="23"/>
      <c r="D70" s="23"/>
      <c r="E70" s="23"/>
      <c r="F70" s="23"/>
      <c r="G70" s="23"/>
      <c r="H70" s="23"/>
      <c r="I70" s="23"/>
      <c r="J70" s="23"/>
      <c r="K70" s="23"/>
      <c r="L70" s="23"/>
      <c r="M70" s="23"/>
      <c r="N70" s="27"/>
      <c r="O70" s="23"/>
      <c r="P70" s="27"/>
      <c r="Q70" s="27"/>
      <c r="R70" s="27"/>
    </row>
    <row r="71" spans="1:18" x14ac:dyDescent="0.25">
      <c r="A71" s="876"/>
      <c r="B71" s="4"/>
      <c r="C71" s="23"/>
      <c r="D71" s="23"/>
      <c r="E71" s="23"/>
      <c r="F71" s="23"/>
      <c r="G71" s="23"/>
      <c r="H71" s="23"/>
      <c r="I71" s="23"/>
      <c r="J71" s="23"/>
      <c r="K71" s="23"/>
      <c r="L71" s="23"/>
      <c r="M71" s="23"/>
      <c r="N71" s="27"/>
      <c r="O71" s="23"/>
      <c r="P71" s="27"/>
      <c r="Q71" s="27"/>
      <c r="R71" s="27"/>
    </row>
    <row r="72" spans="1:18" x14ac:dyDescent="0.25">
      <c r="A72" s="876"/>
      <c r="B72" s="4"/>
      <c r="C72" s="23"/>
      <c r="D72" s="23"/>
      <c r="E72" s="23"/>
      <c r="F72" s="23"/>
      <c r="G72" s="23"/>
      <c r="H72" s="23"/>
      <c r="I72" s="23"/>
      <c r="J72" s="23"/>
      <c r="K72" s="23"/>
      <c r="L72" s="23"/>
      <c r="M72" s="23"/>
      <c r="N72" s="27"/>
      <c r="O72" s="23"/>
      <c r="P72" s="27"/>
      <c r="Q72" s="27"/>
      <c r="R72" s="27"/>
    </row>
    <row r="73" spans="1:18" x14ac:dyDescent="0.25">
      <c r="A73" s="876"/>
      <c r="B73" s="4"/>
      <c r="C73" s="23"/>
      <c r="D73" s="23"/>
      <c r="E73" s="23"/>
      <c r="F73" s="23"/>
      <c r="G73" s="23"/>
      <c r="H73" s="23"/>
      <c r="I73" s="23"/>
      <c r="J73" s="23"/>
      <c r="K73" s="23"/>
      <c r="L73" s="23"/>
      <c r="M73" s="23"/>
      <c r="N73" s="4"/>
      <c r="O73" s="23"/>
      <c r="P73" s="4"/>
      <c r="Q73" s="4"/>
      <c r="R73" s="4"/>
    </row>
    <row r="74" spans="1:18" x14ac:dyDescent="0.25">
      <c r="A74" s="876"/>
      <c r="B74" s="4"/>
      <c r="C74" s="23"/>
      <c r="D74" s="23"/>
      <c r="E74" s="23"/>
      <c r="F74" s="23"/>
      <c r="G74" s="23"/>
      <c r="H74" s="23"/>
      <c r="I74" s="23"/>
      <c r="J74" s="23"/>
      <c r="K74" s="23"/>
      <c r="L74" s="23"/>
      <c r="M74" s="23"/>
      <c r="N74" s="4"/>
      <c r="O74" s="23"/>
      <c r="P74" s="4"/>
      <c r="Q74" s="4"/>
      <c r="R74" s="4"/>
    </row>
    <row r="75" spans="1:18" x14ac:dyDescent="0.25">
      <c r="A75" s="876"/>
      <c r="B75" s="4"/>
      <c r="C75" s="23"/>
      <c r="D75" s="23"/>
      <c r="E75" s="23"/>
      <c r="F75" s="23"/>
      <c r="G75" s="23"/>
      <c r="H75" s="23"/>
      <c r="I75" s="23"/>
      <c r="J75" s="23"/>
      <c r="K75" s="23"/>
      <c r="L75" s="23"/>
      <c r="M75" s="23"/>
      <c r="N75" s="4"/>
      <c r="O75" s="23"/>
      <c r="P75" s="4"/>
      <c r="Q75" s="4"/>
      <c r="R75" s="4"/>
    </row>
    <row r="76" spans="1:18" x14ac:dyDescent="0.25">
      <c r="A76" s="876"/>
      <c r="B76" s="4"/>
      <c r="C76" s="23"/>
      <c r="D76" s="23"/>
      <c r="E76" s="23"/>
      <c r="F76" s="23"/>
      <c r="G76" s="23"/>
      <c r="H76" s="23"/>
      <c r="I76" s="23"/>
      <c r="J76" s="23"/>
      <c r="K76" s="23"/>
      <c r="L76" s="23"/>
      <c r="M76" s="23"/>
      <c r="N76" s="4"/>
      <c r="O76" s="23"/>
      <c r="P76" s="4"/>
      <c r="Q76" s="4"/>
      <c r="R76" s="4"/>
    </row>
    <row r="77" spans="1:18" x14ac:dyDescent="0.25">
      <c r="A77" s="876"/>
      <c r="B77" s="4"/>
      <c r="C77" s="23"/>
      <c r="D77" s="23"/>
      <c r="E77" s="23"/>
      <c r="F77" s="23"/>
      <c r="G77" s="23"/>
      <c r="H77" s="23"/>
      <c r="I77" s="23"/>
      <c r="J77" s="23"/>
      <c r="K77" s="23"/>
      <c r="L77" s="23"/>
      <c r="M77" s="23"/>
      <c r="N77" s="4"/>
      <c r="O77" s="23"/>
      <c r="P77" s="4"/>
      <c r="Q77" s="4"/>
      <c r="R77" s="4"/>
    </row>
    <row r="78" spans="1:18" x14ac:dyDescent="0.25">
      <c r="A78" s="876"/>
      <c r="B78" s="4"/>
      <c r="C78" s="23"/>
      <c r="D78" s="23"/>
      <c r="E78" s="23"/>
      <c r="F78" s="23"/>
      <c r="G78" s="23"/>
      <c r="H78" s="23"/>
      <c r="I78" s="23"/>
      <c r="J78" s="23"/>
      <c r="K78" s="23"/>
      <c r="L78" s="23"/>
      <c r="M78" s="23"/>
      <c r="N78" s="4"/>
      <c r="O78" s="23"/>
      <c r="P78" s="4"/>
      <c r="Q78" s="4"/>
      <c r="R78" s="4"/>
    </row>
    <row r="79" spans="1:18" x14ac:dyDescent="0.25">
      <c r="A79" s="876"/>
      <c r="B79" s="4"/>
      <c r="C79" s="23"/>
      <c r="D79" s="23"/>
      <c r="E79" s="23"/>
      <c r="F79" s="23"/>
      <c r="G79" s="23"/>
      <c r="H79" s="23"/>
      <c r="I79" s="23"/>
      <c r="J79" s="23"/>
      <c r="K79" s="23"/>
      <c r="L79" s="23"/>
      <c r="M79" s="23"/>
      <c r="N79" s="4"/>
      <c r="O79" s="23"/>
      <c r="P79" s="4"/>
      <c r="Q79" s="4"/>
      <c r="R79" s="4"/>
    </row>
    <row r="80" spans="1:18" x14ac:dyDescent="0.25">
      <c r="A80" s="876"/>
      <c r="B80" s="4"/>
      <c r="C80" s="23"/>
      <c r="D80" s="23"/>
      <c r="E80" s="23"/>
      <c r="F80" s="23"/>
      <c r="G80" s="23"/>
      <c r="H80" s="23"/>
      <c r="I80" s="23"/>
      <c r="J80" s="23"/>
      <c r="K80" s="23"/>
      <c r="L80" s="23"/>
      <c r="M80" s="23"/>
      <c r="N80" s="4"/>
      <c r="O80" s="23"/>
      <c r="P80" s="4"/>
      <c r="Q80" s="4"/>
      <c r="R80" s="4"/>
    </row>
    <row r="81" spans="1:18" x14ac:dyDescent="0.25">
      <c r="A81" s="876"/>
      <c r="B81" s="4"/>
      <c r="C81" s="23"/>
      <c r="D81" s="23"/>
      <c r="E81" s="23"/>
      <c r="F81" s="23"/>
      <c r="G81" s="23"/>
      <c r="H81" s="23"/>
      <c r="I81" s="23"/>
      <c r="J81" s="23"/>
      <c r="K81" s="23"/>
      <c r="L81" s="23"/>
      <c r="M81" s="23"/>
      <c r="N81" s="4"/>
      <c r="O81" s="23"/>
      <c r="P81" s="4"/>
      <c r="Q81" s="4"/>
      <c r="R81" s="4"/>
    </row>
    <row r="82" spans="1:18" x14ac:dyDescent="0.25">
      <c r="A82" s="876"/>
      <c r="B82" s="4"/>
      <c r="C82" s="23"/>
      <c r="D82" s="23"/>
      <c r="E82" s="23"/>
      <c r="F82" s="23"/>
      <c r="G82" s="23"/>
      <c r="H82" s="23"/>
      <c r="I82" s="23"/>
      <c r="J82" s="23"/>
      <c r="K82" s="23"/>
      <c r="L82" s="23"/>
      <c r="M82" s="23"/>
      <c r="N82" s="4"/>
      <c r="O82" s="23"/>
      <c r="P82" s="4"/>
      <c r="Q82" s="4"/>
      <c r="R82" s="4"/>
    </row>
    <row r="83" spans="1:18" x14ac:dyDescent="0.25">
      <c r="A83" s="876"/>
      <c r="B83" s="4"/>
      <c r="C83" s="23"/>
      <c r="D83" s="23"/>
      <c r="E83" s="23"/>
      <c r="F83" s="23"/>
      <c r="G83" s="23"/>
      <c r="H83" s="23"/>
      <c r="I83" s="23"/>
      <c r="J83" s="23"/>
      <c r="K83" s="23"/>
      <c r="L83" s="23"/>
      <c r="M83" s="23"/>
      <c r="N83" s="4"/>
      <c r="O83" s="23"/>
      <c r="P83" s="4"/>
      <c r="Q83" s="4"/>
      <c r="R83" s="4"/>
    </row>
    <row r="84" spans="1:18" x14ac:dyDescent="0.25">
      <c r="A84" s="876"/>
      <c r="B84" s="4"/>
      <c r="C84" s="23"/>
      <c r="D84" s="23"/>
      <c r="E84" s="23"/>
      <c r="F84" s="23"/>
      <c r="G84" s="23"/>
      <c r="H84" s="23"/>
      <c r="I84" s="23"/>
      <c r="J84" s="23"/>
      <c r="K84" s="23"/>
      <c r="L84" s="23"/>
      <c r="M84" s="23"/>
      <c r="N84" s="4"/>
      <c r="O84" s="23"/>
      <c r="P84" s="4"/>
      <c r="Q84" s="4"/>
      <c r="R84" s="4"/>
    </row>
    <row r="85" spans="1:18" x14ac:dyDescent="0.25">
      <c r="A85" s="876"/>
      <c r="B85" s="4"/>
      <c r="C85" s="23"/>
      <c r="D85" s="23"/>
      <c r="E85" s="23"/>
      <c r="F85" s="23"/>
      <c r="G85" s="23"/>
      <c r="H85" s="23"/>
      <c r="I85" s="23"/>
      <c r="J85" s="23"/>
      <c r="K85" s="23"/>
      <c r="L85" s="23"/>
      <c r="M85" s="23"/>
      <c r="N85" s="4"/>
      <c r="O85" s="23"/>
      <c r="P85" s="4"/>
      <c r="Q85" s="4"/>
      <c r="R85" s="4"/>
    </row>
    <row r="86" spans="1:18" x14ac:dyDescent="0.25">
      <c r="A86" s="876"/>
      <c r="B86" s="4"/>
      <c r="C86" s="23"/>
      <c r="D86" s="23"/>
      <c r="E86" s="23"/>
      <c r="F86" s="23"/>
      <c r="G86" s="23"/>
      <c r="H86" s="23"/>
      <c r="I86" s="23"/>
      <c r="J86" s="23"/>
      <c r="K86" s="23"/>
      <c r="L86" s="23"/>
      <c r="M86" s="23"/>
      <c r="N86" s="4"/>
      <c r="O86" s="23"/>
      <c r="P86" s="4"/>
      <c r="Q86" s="4"/>
      <c r="R86" s="4"/>
    </row>
    <row r="87" spans="1:18" x14ac:dyDescent="0.25">
      <c r="A87" s="876"/>
      <c r="B87" s="4"/>
      <c r="C87" s="23"/>
      <c r="D87" s="23"/>
      <c r="E87" s="23"/>
      <c r="F87" s="23"/>
      <c r="G87" s="23"/>
      <c r="H87" s="23"/>
      <c r="I87" s="23"/>
      <c r="J87" s="23"/>
      <c r="K87" s="23"/>
      <c r="L87" s="23"/>
      <c r="M87" s="23"/>
      <c r="N87" s="4"/>
      <c r="O87" s="23"/>
      <c r="P87" s="4"/>
      <c r="Q87" s="4"/>
      <c r="R87" s="4"/>
    </row>
    <row r="88" spans="1:18" x14ac:dyDescent="0.25">
      <c r="A88" s="876"/>
      <c r="B88" s="4"/>
      <c r="C88" s="23"/>
      <c r="D88" s="23"/>
      <c r="E88" s="23"/>
      <c r="F88" s="23"/>
      <c r="G88" s="23"/>
      <c r="H88" s="23"/>
      <c r="I88" s="23"/>
      <c r="J88" s="23"/>
      <c r="K88" s="23"/>
      <c r="L88" s="23"/>
      <c r="M88" s="23"/>
      <c r="N88" s="4"/>
      <c r="O88" s="23"/>
      <c r="P88" s="4"/>
      <c r="Q88" s="4"/>
      <c r="R88" s="4"/>
    </row>
    <row r="89" spans="1:18" x14ac:dyDescent="0.25">
      <c r="A89" s="876"/>
      <c r="B89" s="4"/>
      <c r="C89" s="23"/>
      <c r="D89" s="23"/>
      <c r="E89" s="23"/>
      <c r="F89" s="23"/>
      <c r="G89" s="23"/>
      <c r="H89" s="23"/>
      <c r="I89" s="23"/>
      <c r="J89" s="23"/>
      <c r="K89" s="23"/>
      <c r="L89" s="23"/>
      <c r="M89" s="23"/>
      <c r="N89" s="4"/>
      <c r="O89" s="23"/>
      <c r="P89" s="4"/>
      <c r="Q89" s="4"/>
      <c r="R89" s="4"/>
    </row>
    <row r="90" spans="1:18" x14ac:dyDescent="0.25">
      <c r="A90" s="876"/>
      <c r="B90" s="4"/>
      <c r="C90" s="23"/>
      <c r="D90" s="23"/>
      <c r="E90" s="23"/>
      <c r="F90" s="23"/>
      <c r="G90" s="23"/>
      <c r="H90" s="23"/>
      <c r="I90" s="23"/>
      <c r="J90" s="23"/>
      <c r="K90" s="23"/>
      <c r="L90" s="23"/>
      <c r="M90" s="23"/>
      <c r="N90" s="4"/>
      <c r="O90" s="23"/>
      <c r="P90" s="4"/>
      <c r="Q90" s="4"/>
      <c r="R90" s="4"/>
    </row>
    <row r="91" spans="1:18" x14ac:dyDescent="0.25">
      <c r="A91" s="876"/>
      <c r="B91" s="4"/>
      <c r="C91" s="23"/>
      <c r="D91" s="23"/>
      <c r="E91" s="23"/>
      <c r="F91" s="23"/>
      <c r="G91" s="23"/>
      <c r="H91" s="23"/>
      <c r="I91" s="23"/>
      <c r="J91" s="23"/>
      <c r="K91" s="23"/>
      <c r="L91" s="23"/>
      <c r="M91" s="23"/>
      <c r="N91" s="4"/>
      <c r="O91" s="23"/>
      <c r="P91" s="4"/>
      <c r="Q91" s="4"/>
      <c r="R91" s="4"/>
    </row>
    <row r="92" spans="1:18" x14ac:dyDescent="0.25">
      <c r="A92" s="876"/>
      <c r="B92" s="4"/>
      <c r="C92" s="23"/>
      <c r="D92" s="23"/>
      <c r="E92" s="23"/>
      <c r="F92" s="23"/>
      <c r="G92" s="23"/>
      <c r="H92" s="23"/>
      <c r="I92" s="23"/>
      <c r="J92" s="23"/>
      <c r="K92" s="23"/>
      <c r="L92" s="23"/>
      <c r="M92" s="23"/>
      <c r="N92" s="4"/>
      <c r="O92" s="23"/>
      <c r="P92" s="4"/>
      <c r="Q92" s="4"/>
      <c r="R92" s="4"/>
    </row>
    <row r="93" spans="1:18" x14ac:dyDescent="0.25">
      <c r="A93" s="876"/>
      <c r="B93" s="4"/>
      <c r="C93" s="23"/>
      <c r="D93" s="23"/>
      <c r="E93" s="23"/>
      <c r="F93" s="23"/>
      <c r="G93" s="23"/>
      <c r="H93" s="23"/>
      <c r="I93" s="23"/>
      <c r="J93" s="23"/>
      <c r="K93" s="23"/>
      <c r="L93" s="23"/>
      <c r="M93" s="23"/>
      <c r="N93" s="4"/>
      <c r="O93" s="23"/>
      <c r="P93" s="4"/>
      <c r="Q93" s="4"/>
      <c r="R93" s="4"/>
    </row>
    <row r="94" spans="1:18" x14ac:dyDescent="0.25">
      <c r="A94" s="876"/>
      <c r="B94" s="4"/>
      <c r="C94" s="23"/>
      <c r="D94" s="23"/>
      <c r="E94" s="23"/>
      <c r="F94" s="23"/>
      <c r="G94" s="23"/>
      <c r="H94" s="23"/>
      <c r="I94" s="23"/>
      <c r="J94" s="23"/>
      <c r="K94" s="23"/>
      <c r="L94" s="23"/>
      <c r="M94" s="23"/>
      <c r="N94" s="4"/>
      <c r="O94" s="23"/>
      <c r="P94" s="4"/>
      <c r="Q94" s="4"/>
      <c r="R94" s="4"/>
    </row>
    <row r="95" spans="1:18" x14ac:dyDescent="0.25">
      <c r="A95" s="876"/>
      <c r="B95" s="4"/>
      <c r="C95" s="23"/>
      <c r="D95" s="23"/>
      <c r="E95" s="23"/>
      <c r="F95" s="23"/>
      <c r="G95" s="23"/>
      <c r="H95" s="23"/>
      <c r="I95" s="23"/>
      <c r="J95" s="23"/>
      <c r="K95" s="23"/>
      <c r="L95" s="23"/>
      <c r="M95" s="23"/>
      <c r="N95" s="4"/>
      <c r="O95" s="23"/>
      <c r="P95" s="4"/>
      <c r="Q95" s="4"/>
      <c r="R95" s="4"/>
    </row>
    <row r="96" spans="1:18" x14ac:dyDescent="0.25">
      <c r="A96" s="876"/>
      <c r="B96" s="4"/>
      <c r="C96" s="23"/>
      <c r="D96" s="23"/>
      <c r="E96" s="23"/>
      <c r="F96" s="23"/>
      <c r="G96" s="23"/>
      <c r="H96" s="23"/>
      <c r="I96" s="23"/>
      <c r="J96" s="23"/>
      <c r="K96" s="23"/>
      <c r="L96" s="23"/>
      <c r="M96" s="23"/>
      <c r="N96" s="4"/>
      <c r="O96" s="23"/>
      <c r="P96" s="4"/>
      <c r="Q96" s="4"/>
      <c r="R96" s="4"/>
    </row>
    <row r="97" spans="1:18" x14ac:dyDescent="0.25">
      <c r="A97" s="876"/>
      <c r="B97" s="4"/>
      <c r="C97" s="23"/>
      <c r="D97" s="23"/>
      <c r="E97" s="23"/>
      <c r="F97" s="23"/>
      <c r="G97" s="23"/>
      <c r="H97" s="23"/>
      <c r="I97" s="23"/>
      <c r="J97" s="23"/>
      <c r="K97" s="23"/>
      <c r="L97" s="23"/>
      <c r="M97" s="23"/>
      <c r="N97" s="4"/>
      <c r="O97" s="23"/>
      <c r="P97" s="4"/>
      <c r="Q97" s="4"/>
      <c r="R97" s="4"/>
    </row>
    <row r="98" spans="1:18" x14ac:dyDescent="0.25">
      <c r="A98" s="876"/>
      <c r="B98" s="4"/>
      <c r="C98" s="23"/>
      <c r="D98" s="23"/>
      <c r="E98" s="23"/>
      <c r="F98" s="23"/>
      <c r="G98" s="23"/>
      <c r="H98" s="23"/>
      <c r="I98" s="23"/>
      <c r="J98" s="23"/>
      <c r="K98" s="23"/>
      <c r="L98" s="23"/>
      <c r="M98" s="23"/>
      <c r="N98" s="4"/>
      <c r="O98" s="23"/>
      <c r="P98" s="4"/>
      <c r="Q98" s="4"/>
      <c r="R98" s="4"/>
    </row>
    <row r="99" spans="1:18" x14ac:dyDescent="0.25">
      <c r="A99" s="876"/>
      <c r="B99" s="4"/>
      <c r="C99" s="23"/>
      <c r="D99" s="23"/>
      <c r="E99" s="23"/>
      <c r="F99" s="23"/>
      <c r="G99" s="23"/>
      <c r="H99" s="23"/>
      <c r="I99" s="23"/>
      <c r="J99" s="23"/>
      <c r="K99" s="23"/>
      <c r="L99" s="23"/>
      <c r="M99" s="23"/>
      <c r="N99" s="4"/>
      <c r="O99" s="23"/>
      <c r="P99" s="4"/>
      <c r="Q99" s="4"/>
      <c r="R99" s="4"/>
    </row>
    <row r="100" spans="1:18" x14ac:dyDescent="0.25">
      <c r="A100" s="876"/>
      <c r="B100" s="4"/>
      <c r="C100" s="23"/>
      <c r="D100" s="23"/>
      <c r="E100" s="23"/>
      <c r="F100" s="23"/>
      <c r="G100" s="23"/>
      <c r="H100" s="23"/>
      <c r="I100" s="23"/>
      <c r="J100" s="23"/>
      <c r="K100" s="23"/>
      <c r="L100" s="23"/>
      <c r="M100" s="23"/>
      <c r="N100" s="4"/>
      <c r="O100" s="23"/>
      <c r="P100" s="4"/>
      <c r="Q100" s="4"/>
      <c r="R100" s="4"/>
    </row>
    <row r="101" spans="1:18" x14ac:dyDescent="0.25">
      <c r="A101" s="876"/>
      <c r="B101" s="4"/>
      <c r="C101" s="23"/>
      <c r="D101" s="23"/>
      <c r="E101" s="23"/>
      <c r="F101" s="23"/>
      <c r="G101" s="23"/>
      <c r="H101" s="23"/>
      <c r="I101" s="23"/>
      <c r="J101" s="23"/>
      <c r="K101" s="23"/>
      <c r="L101" s="23"/>
      <c r="M101" s="23"/>
      <c r="N101" s="4"/>
      <c r="O101" s="23"/>
      <c r="P101" s="4"/>
      <c r="Q101" s="4"/>
      <c r="R101" s="4"/>
    </row>
    <row r="102" spans="1:18" x14ac:dyDescent="0.25">
      <c r="A102" s="876"/>
      <c r="B102" s="4"/>
      <c r="C102" s="23"/>
      <c r="D102" s="23"/>
      <c r="E102" s="23"/>
      <c r="F102" s="23"/>
      <c r="G102" s="23"/>
      <c r="H102" s="23"/>
      <c r="I102" s="23"/>
      <c r="J102" s="23"/>
      <c r="K102" s="23"/>
      <c r="L102" s="23"/>
      <c r="M102" s="23"/>
      <c r="N102" s="4"/>
      <c r="O102" s="23"/>
      <c r="P102" s="4"/>
      <c r="Q102" s="4"/>
      <c r="R102" s="4"/>
    </row>
    <row r="103" spans="1:18" x14ac:dyDescent="0.25">
      <c r="A103" s="876"/>
      <c r="B103" s="4"/>
      <c r="C103" s="23"/>
      <c r="D103" s="23"/>
      <c r="E103" s="23"/>
      <c r="F103" s="23"/>
      <c r="G103" s="23"/>
      <c r="H103" s="23"/>
      <c r="I103" s="23"/>
      <c r="J103" s="23"/>
      <c r="K103" s="23"/>
      <c r="L103" s="23"/>
      <c r="M103" s="23"/>
      <c r="N103" s="4"/>
      <c r="O103" s="23"/>
      <c r="P103" s="4"/>
      <c r="Q103" s="4"/>
      <c r="R103" s="4"/>
    </row>
    <row r="104" spans="1:18" x14ac:dyDescent="0.25">
      <c r="A104" s="876"/>
      <c r="B104" s="4"/>
      <c r="C104" s="23"/>
      <c r="D104" s="23"/>
      <c r="E104" s="23"/>
      <c r="F104" s="23"/>
      <c r="G104" s="23"/>
      <c r="H104" s="23"/>
      <c r="I104" s="23"/>
      <c r="J104" s="23"/>
      <c r="K104" s="23"/>
      <c r="L104" s="23"/>
      <c r="M104" s="23"/>
      <c r="N104" s="4"/>
      <c r="O104" s="23"/>
      <c r="P104" s="4"/>
      <c r="Q104" s="4"/>
      <c r="R104" s="4"/>
    </row>
    <row r="105" spans="1:18" x14ac:dyDescent="0.25">
      <c r="A105" s="876"/>
      <c r="B105" s="4"/>
      <c r="C105" s="23"/>
      <c r="D105" s="23"/>
      <c r="E105" s="23"/>
      <c r="F105" s="23"/>
      <c r="G105" s="23"/>
      <c r="H105" s="23"/>
      <c r="I105" s="23"/>
      <c r="J105" s="23"/>
      <c r="K105" s="23"/>
      <c r="L105" s="23"/>
      <c r="M105" s="23"/>
      <c r="N105" s="4"/>
      <c r="O105" s="23"/>
      <c r="P105" s="4"/>
      <c r="Q105" s="4"/>
      <c r="R105" s="4"/>
    </row>
    <row r="106" spans="1:18" x14ac:dyDescent="0.25">
      <c r="A106" s="876"/>
      <c r="B106" s="4"/>
      <c r="C106" s="23"/>
      <c r="D106" s="23"/>
      <c r="E106" s="23"/>
      <c r="F106" s="23"/>
      <c r="G106" s="23"/>
      <c r="H106" s="23"/>
      <c r="I106" s="23"/>
      <c r="J106" s="23"/>
      <c r="K106" s="23"/>
      <c r="L106" s="23"/>
      <c r="M106" s="23"/>
      <c r="N106" s="4"/>
      <c r="O106" s="23"/>
      <c r="P106" s="4"/>
      <c r="Q106" s="4"/>
      <c r="R106" s="4"/>
    </row>
    <row r="107" spans="1:18" x14ac:dyDescent="0.25">
      <c r="A107" s="876"/>
      <c r="B107" s="4"/>
      <c r="C107" s="23"/>
      <c r="D107" s="23"/>
      <c r="E107" s="23"/>
      <c r="F107" s="23"/>
      <c r="G107" s="23"/>
      <c r="H107" s="23"/>
      <c r="I107" s="23"/>
      <c r="J107" s="23"/>
      <c r="K107" s="23"/>
      <c r="L107" s="23"/>
      <c r="M107" s="23"/>
      <c r="N107" s="4"/>
      <c r="O107" s="23"/>
      <c r="P107" s="4"/>
      <c r="Q107" s="4"/>
      <c r="R107" s="4"/>
    </row>
    <row r="108" spans="1:18" x14ac:dyDescent="0.25">
      <c r="A108" s="876"/>
      <c r="B108" s="4"/>
      <c r="C108" s="23"/>
      <c r="D108" s="23"/>
      <c r="E108" s="23"/>
      <c r="F108" s="23"/>
      <c r="G108" s="23"/>
      <c r="H108" s="23"/>
      <c r="I108" s="23"/>
      <c r="J108" s="23"/>
      <c r="K108" s="23"/>
      <c r="L108" s="23"/>
      <c r="M108" s="23"/>
      <c r="N108" s="4"/>
      <c r="O108" s="23"/>
      <c r="P108" s="4"/>
      <c r="Q108" s="4"/>
      <c r="R108" s="4"/>
    </row>
    <row r="109" spans="1:18" x14ac:dyDescent="0.25">
      <c r="A109" s="876"/>
      <c r="B109" s="4"/>
      <c r="C109" s="23"/>
      <c r="D109" s="23"/>
      <c r="E109" s="23"/>
      <c r="F109" s="23"/>
      <c r="G109" s="23"/>
      <c r="H109" s="23"/>
      <c r="I109" s="23"/>
      <c r="J109" s="23"/>
      <c r="K109" s="23"/>
      <c r="L109" s="23"/>
      <c r="M109" s="23"/>
      <c r="N109" s="4"/>
      <c r="O109" s="23"/>
      <c r="P109" s="4"/>
      <c r="Q109" s="4"/>
      <c r="R109" s="4"/>
    </row>
    <row r="110" spans="1:18" x14ac:dyDescent="0.25">
      <c r="A110" s="876"/>
      <c r="B110" s="4"/>
      <c r="C110" s="23"/>
      <c r="D110" s="23"/>
      <c r="E110" s="23"/>
      <c r="F110" s="23"/>
      <c r="G110" s="23"/>
      <c r="H110" s="23"/>
      <c r="I110" s="23"/>
      <c r="J110" s="23"/>
      <c r="K110" s="23"/>
      <c r="L110" s="23"/>
      <c r="M110" s="23"/>
      <c r="N110" s="4"/>
      <c r="O110" s="23"/>
      <c r="P110" s="4"/>
      <c r="Q110" s="4"/>
      <c r="R110" s="4"/>
    </row>
    <row r="111" spans="1:18" x14ac:dyDescent="0.25">
      <c r="A111" s="876"/>
      <c r="B111" s="4"/>
      <c r="C111" s="23"/>
      <c r="D111" s="23"/>
      <c r="E111" s="23"/>
      <c r="F111" s="23"/>
      <c r="G111" s="23"/>
      <c r="H111" s="23"/>
      <c r="I111" s="23"/>
      <c r="J111" s="23"/>
      <c r="K111" s="23"/>
      <c r="L111" s="23"/>
      <c r="M111" s="23"/>
      <c r="N111" s="4"/>
      <c r="O111" s="23"/>
      <c r="P111" s="4"/>
      <c r="Q111" s="4"/>
      <c r="R111" s="4"/>
    </row>
    <row r="112" spans="1:18" x14ac:dyDescent="0.25">
      <c r="A112" s="876"/>
      <c r="B112" s="4"/>
      <c r="C112" s="23"/>
      <c r="D112" s="23"/>
      <c r="E112" s="23"/>
      <c r="F112" s="23"/>
      <c r="G112" s="23"/>
      <c r="H112" s="23"/>
      <c r="I112" s="23"/>
      <c r="J112" s="23"/>
      <c r="K112" s="23"/>
      <c r="L112" s="23"/>
      <c r="M112" s="23"/>
      <c r="N112" s="4"/>
      <c r="O112" s="23"/>
      <c r="P112" s="4"/>
      <c r="Q112" s="4"/>
      <c r="R112" s="4"/>
    </row>
    <row r="113" spans="1:18" x14ac:dyDescent="0.25">
      <c r="A113" s="876"/>
      <c r="B113" s="4"/>
      <c r="C113" s="23"/>
      <c r="D113" s="23"/>
      <c r="E113" s="23"/>
      <c r="F113" s="23"/>
      <c r="G113" s="23"/>
      <c r="H113" s="23"/>
      <c r="I113" s="23"/>
      <c r="J113" s="23"/>
      <c r="K113" s="23"/>
      <c r="L113" s="23"/>
      <c r="M113" s="23"/>
      <c r="N113" s="4"/>
      <c r="O113" s="23"/>
      <c r="P113" s="4"/>
      <c r="Q113" s="4"/>
      <c r="R113" s="4"/>
    </row>
    <row r="114" spans="1:18" x14ac:dyDescent="0.25">
      <c r="A114" s="876"/>
      <c r="B114" s="4"/>
      <c r="C114" s="23"/>
      <c r="D114" s="23"/>
      <c r="E114" s="23"/>
      <c r="F114" s="23"/>
      <c r="G114" s="23"/>
      <c r="H114" s="23"/>
      <c r="I114" s="23"/>
      <c r="J114" s="23"/>
      <c r="K114" s="23"/>
      <c r="L114" s="23"/>
      <c r="M114" s="23"/>
      <c r="N114" s="4"/>
      <c r="O114" s="23"/>
      <c r="P114" s="4"/>
      <c r="Q114" s="4"/>
      <c r="R114" s="4"/>
    </row>
    <row r="115" spans="1:18" x14ac:dyDescent="0.25">
      <c r="A115" s="876"/>
      <c r="B115" s="4"/>
      <c r="C115" s="23"/>
      <c r="D115" s="23"/>
      <c r="E115" s="23"/>
      <c r="F115" s="23"/>
      <c r="G115" s="23"/>
      <c r="H115" s="23"/>
      <c r="I115" s="23"/>
      <c r="J115" s="23"/>
      <c r="K115" s="23"/>
      <c r="L115" s="23"/>
      <c r="M115" s="23"/>
      <c r="N115" s="4"/>
      <c r="O115" s="23"/>
      <c r="P115" s="4"/>
      <c r="Q115" s="4"/>
      <c r="R115" s="4"/>
    </row>
    <row r="116" spans="1:18" x14ac:dyDescent="0.25">
      <c r="A116" s="876"/>
      <c r="B116" s="4"/>
      <c r="C116" s="23"/>
      <c r="D116" s="23"/>
      <c r="E116" s="23"/>
      <c r="F116" s="23"/>
      <c r="G116" s="23"/>
      <c r="H116" s="23"/>
      <c r="I116" s="23"/>
      <c r="J116" s="23"/>
      <c r="K116" s="23"/>
      <c r="L116" s="23"/>
      <c r="M116" s="23"/>
      <c r="N116" s="4"/>
      <c r="O116" s="23"/>
      <c r="P116" s="4"/>
      <c r="Q116" s="4"/>
      <c r="R116" s="4"/>
    </row>
    <row r="117" spans="1:18" x14ac:dyDescent="0.25">
      <c r="A117" s="876"/>
      <c r="B117" s="4"/>
      <c r="C117" s="23"/>
      <c r="D117" s="23"/>
      <c r="E117" s="23"/>
      <c r="F117" s="23"/>
      <c r="G117" s="23"/>
      <c r="H117" s="23"/>
      <c r="I117" s="23"/>
      <c r="J117" s="23"/>
      <c r="K117" s="23"/>
      <c r="L117" s="23"/>
      <c r="M117" s="23"/>
      <c r="N117" s="4"/>
      <c r="O117" s="23"/>
      <c r="P117" s="4"/>
      <c r="Q117" s="4"/>
      <c r="R117" s="4"/>
    </row>
    <row r="118" spans="1:18" x14ac:dyDescent="0.25">
      <c r="A118" s="876"/>
      <c r="B118" s="4"/>
      <c r="C118" s="23"/>
      <c r="D118" s="23"/>
      <c r="E118" s="23"/>
      <c r="F118" s="23"/>
      <c r="G118" s="23"/>
      <c r="H118" s="23"/>
      <c r="I118" s="23"/>
      <c r="J118" s="23"/>
      <c r="K118" s="23"/>
      <c r="L118" s="23"/>
      <c r="M118" s="23"/>
      <c r="N118" s="4"/>
      <c r="O118" s="23"/>
      <c r="P118" s="4"/>
      <c r="Q118" s="4"/>
      <c r="R118" s="4"/>
    </row>
    <row r="119" spans="1:18" x14ac:dyDescent="0.25">
      <c r="A119" s="876"/>
      <c r="B119" s="4"/>
      <c r="C119" s="23"/>
      <c r="D119" s="23"/>
      <c r="E119" s="23"/>
      <c r="F119" s="23"/>
      <c r="G119" s="23"/>
      <c r="H119" s="23"/>
      <c r="I119" s="23"/>
      <c r="J119" s="23"/>
      <c r="K119" s="23"/>
      <c r="L119" s="23"/>
      <c r="M119" s="23"/>
      <c r="N119" s="4"/>
      <c r="O119" s="23"/>
      <c r="P119" s="4"/>
      <c r="Q119" s="4"/>
      <c r="R119" s="4"/>
    </row>
    <row r="120" spans="1:18" x14ac:dyDescent="0.25">
      <c r="A120" s="876"/>
      <c r="B120" s="4"/>
      <c r="C120" s="23"/>
      <c r="D120" s="23"/>
      <c r="E120" s="23"/>
      <c r="F120" s="23"/>
      <c r="G120" s="23"/>
      <c r="H120" s="23"/>
      <c r="I120" s="23"/>
      <c r="J120" s="23"/>
      <c r="K120" s="23"/>
      <c r="L120" s="23"/>
      <c r="M120" s="23"/>
      <c r="N120" s="4"/>
      <c r="O120" s="23"/>
      <c r="P120" s="4"/>
      <c r="Q120" s="4"/>
      <c r="R120" s="4"/>
    </row>
    <row r="121" spans="1:18" x14ac:dyDescent="0.25">
      <c r="A121" s="876"/>
      <c r="B121" s="4"/>
      <c r="C121" s="23"/>
      <c r="D121" s="23"/>
      <c r="E121" s="23"/>
      <c r="F121" s="23"/>
      <c r="G121" s="23"/>
      <c r="H121" s="23"/>
      <c r="I121" s="23"/>
      <c r="J121" s="23"/>
      <c r="K121" s="23"/>
      <c r="L121" s="23"/>
      <c r="M121" s="23"/>
      <c r="N121" s="4"/>
      <c r="O121" s="23"/>
      <c r="P121" s="4"/>
      <c r="Q121" s="4"/>
      <c r="R121" s="4"/>
    </row>
    <row r="122" spans="1:18" x14ac:dyDescent="0.25">
      <c r="A122" s="876"/>
      <c r="B122" s="4"/>
      <c r="C122" s="23"/>
      <c r="D122" s="23"/>
      <c r="E122" s="23"/>
      <c r="F122" s="23"/>
      <c r="G122" s="23"/>
      <c r="H122" s="23"/>
      <c r="I122" s="23"/>
      <c r="J122" s="23"/>
      <c r="K122" s="23"/>
      <c r="L122" s="23"/>
      <c r="M122" s="23"/>
      <c r="N122" s="4"/>
      <c r="O122" s="23"/>
      <c r="P122" s="4"/>
      <c r="Q122" s="4"/>
      <c r="R122" s="4"/>
    </row>
    <row r="123" spans="1:18" x14ac:dyDescent="0.25">
      <c r="A123" s="876"/>
      <c r="B123" s="4"/>
      <c r="C123" s="23"/>
      <c r="D123" s="23"/>
      <c r="E123" s="23"/>
      <c r="F123" s="23"/>
      <c r="G123" s="23"/>
      <c r="H123" s="23"/>
      <c r="I123" s="23"/>
      <c r="J123" s="23"/>
      <c r="K123" s="23"/>
      <c r="L123" s="23"/>
      <c r="M123" s="23"/>
      <c r="N123" s="4"/>
      <c r="O123" s="23"/>
      <c r="P123" s="4"/>
      <c r="Q123" s="4"/>
      <c r="R123" s="4"/>
    </row>
    <row r="124" spans="1:18" x14ac:dyDescent="0.25">
      <c r="A124" s="876"/>
      <c r="B124" s="4"/>
      <c r="C124" s="23"/>
      <c r="D124" s="23"/>
      <c r="E124" s="23"/>
      <c r="F124" s="23"/>
      <c r="G124" s="23"/>
      <c r="H124" s="23"/>
      <c r="I124" s="23"/>
      <c r="J124" s="23"/>
      <c r="K124" s="23"/>
      <c r="L124" s="23"/>
      <c r="M124" s="23"/>
      <c r="N124" s="4"/>
      <c r="O124" s="23"/>
      <c r="P124" s="4"/>
      <c r="Q124" s="4"/>
      <c r="R124" s="4"/>
    </row>
    <row r="125" spans="1:18" x14ac:dyDescent="0.25">
      <c r="A125" s="876"/>
      <c r="B125" s="4"/>
      <c r="C125" s="23"/>
      <c r="D125" s="23"/>
      <c r="E125" s="23"/>
      <c r="F125" s="23"/>
      <c r="G125" s="23"/>
      <c r="H125" s="23"/>
      <c r="I125" s="23"/>
      <c r="J125" s="23"/>
      <c r="K125" s="23"/>
      <c r="L125" s="23"/>
      <c r="M125" s="23"/>
      <c r="N125" s="4"/>
      <c r="O125" s="23"/>
      <c r="P125" s="4"/>
      <c r="Q125" s="4"/>
      <c r="R125" s="4"/>
    </row>
    <row r="126" spans="1:18" x14ac:dyDescent="0.25">
      <c r="A126" s="876"/>
      <c r="B126" s="4"/>
      <c r="C126" s="23"/>
      <c r="D126" s="23"/>
      <c r="E126" s="23"/>
      <c r="F126" s="23"/>
      <c r="G126" s="23"/>
      <c r="H126" s="23"/>
      <c r="I126" s="23"/>
      <c r="J126" s="23"/>
      <c r="K126" s="23"/>
      <c r="L126" s="23"/>
      <c r="M126" s="23"/>
      <c r="N126" s="4"/>
      <c r="O126" s="23"/>
      <c r="P126" s="4"/>
      <c r="Q126" s="4"/>
      <c r="R126" s="4"/>
    </row>
    <row r="127" spans="1:18" x14ac:dyDescent="0.25">
      <c r="A127" s="876"/>
      <c r="B127" s="4"/>
      <c r="C127" s="23"/>
      <c r="D127" s="23"/>
      <c r="E127" s="23"/>
      <c r="F127" s="23"/>
      <c r="G127" s="23"/>
      <c r="H127" s="23"/>
      <c r="I127" s="23"/>
      <c r="J127" s="23"/>
      <c r="K127" s="23"/>
      <c r="L127" s="23"/>
      <c r="M127" s="23"/>
      <c r="N127" s="4"/>
      <c r="O127" s="23"/>
      <c r="P127" s="4"/>
      <c r="Q127" s="4"/>
      <c r="R127" s="4"/>
    </row>
    <row r="128" spans="1:18" x14ac:dyDescent="0.25">
      <c r="A128" s="876"/>
      <c r="B128" s="4"/>
      <c r="C128" s="23"/>
      <c r="D128" s="23"/>
      <c r="E128" s="23"/>
      <c r="F128" s="23"/>
      <c r="G128" s="23"/>
      <c r="H128" s="23"/>
      <c r="I128" s="23"/>
      <c r="J128" s="23"/>
      <c r="K128" s="23"/>
      <c r="L128" s="23"/>
      <c r="M128" s="23"/>
      <c r="N128" s="4"/>
      <c r="O128" s="23"/>
      <c r="P128" s="4"/>
      <c r="Q128" s="4"/>
      <c r="R128" s="4"/>
    </row>
    <row r="129" spans="1:18" x14ac:dyDescent="0.25">
      <c r="A129" s="876"/>
      <c r="B129" s="4"/>
      <c r="C129" s="23"/>
      <c r="D129" s="23"/>
      <c r="E129" s="23"/>
      <c r="F129" s="23"/>
      <c r="G129" s="23"/>
      <c r="H129" s="23"/>
      <c r="I129" s="23"/>
      <c r="J129" s="23"/>
      <c r="K129" s="23"/>
      <c r="L129" s="23"/>
      <c r="M129" s="23"/>
      <c r="N129" s="4"/>
      <c r="O129" s="23"/>
      <c r="P129" s="4"/>
      <c r="Q129" s="4"/>
      <c r="R129" s="4"/>
    </row>
    <row r="130" spans="1:18" x14ac:dyDescent="0.25">
      <c r="A130" s="876"/>
      <c r="B130" s="4"/>
      <c r="C130" s="23"/>
      <c r="D130" s="23"/>
      <c r="E130" s="23"/>
      <c r="F130" s="23"/>
      <c r="G130" s="23"/>
      <c r="H130" s="23"/>
      <c r="I130" s="23"/>
      <c r="J130" s="23"/>
      <c r="K130" s="23"/>
      <c r="L130" s="23"/>
      <c r="M130" s="23"/>
      <c r="N130" s="4"/>
      <c r="O130" s="23"/>
      <c r="P130" s="4"/>
      <c r="Q130" s="4"/>
      <c r="R130" s="4"/>
    </row>
    <row r="131" spans="1:18" x14ac:dyDescent="0.25">
      <c r="A131" s="876"/>
      <c r="B131" s="4"/>
      <c r="C131" s="23"/>
      <c r="D131" s="23"/>
      <c r="E131" s="23"/>
      <c r="F131" s="23"/>
      <c r="G131" s="23"/>
      <c r="H131" s="23"/>
      <c r="I131" s="23"/>
      <c r="J131" s="23"/>
      <c r="K131" s="23"/>
      <c r="L131" s="23"/>
      <c r="M131" s="23"/>
      <c r="N131" s="4"/>
      <c r="O131" s="23"/>
      <c r="P131" s="4"/>
      <c r="Q131" s="4"/>
      <c r="R131" s="4"/>
    </row>
    <row r="132" spans="1:18" x14ac:dyDescent="0.25">
      <c r="A132" s="876"/>
      <c r="B132" s="4"/>
      <c r="C132" s="23"/>
      <c r="D132" s="23"/>
      <c r="E132" s="23"/>
      <c r="F132" s="23"/>
      <c r="G132" s="23"/>
      <c r="H132" s="23"/>
      <c r="I132" s="23"/>
      <c r="J132" s="23"/>
      <c r="K132" s="23"/>
      <c r="L132" s="23"/>
      <c r="M132" s="23"/>
      <c r="N132" s="4"/>
      <c r="O132" s="23"/>
      <c r="P132" s="4"/>
      <c r="Q132" s="4"/>
      <c r="R132" s="4"/>
    </row>
    <row r="133" spans="1:18" x14ac:dyDescent="0.25">
      <c r="A133" s="876"/>
      <c r="B133" s="4"/>
      <c r="C133" s="23"/>
      <c r="D133" s="23"/>
      <c r="E133" s="23"/>
      <c r="F133" s="23"/>
      <c r="G133" s="23"/>
      <c r="H133" s="23"/>
      <c r="I133" s="23"/>
      <c r="J133" s="23"/>
      <c r="K133" s="23"/>
      <c r="L133" s="23"/>
      <c r="M133" s="23"/>
      <c r="N133" s="4"/>
      <c r="O133" s="23"/>
      <c r="P133" s="4"/>
      <c r="Q133" s="4"/>
      <c r="R133" s="4"/>
    </row>
    <row r="134" spans="1:18" x14ac:dyDescent="0.25">
      <c r="A134" s="876"/>
      <c r="B134" s="4"/>
      <c r="C134" s="23"/>
      <c r="D134" s="23"/>
      <c r="E134" s="23"/>
      <c r="F134" s="23"/>
      <c r="G134" s="23"/>
      <c r="H134" s="23"/>
      <c r="I134" s="23"/>
      <c r="J134" s="23"/>
      <c r="K134" s="23"/>
      <c r="L134" s="23"/>
      <c r="M134" s="23"/>
      <c r="N134" s="4"/>
      <c r="O134" s="23"/>
      <c r="P134" s="4"/>
      <c r="Q134" s="4"/>
      <c r="R134" s="4"/>
    </row>
    <row r="135" spans="1:18" x14ac:dyDescent="0.25">
      <c r="A135" s="876"/>
      <c r="B135" s="4"/>
      <c r="C135" s="23"/>
      <c r="D135" s="23"/>
      <c r="E135" s="23"/>
      <c r="F135" s="23"/>
      <c r="G135" s="23"/>
      <c r="H135" s="23"/>
      <c r="I135" s="23"/>
      <c r="J135" s="23"/>
      <c r="K135" s="23"/>
      <c r="L135" s="23"/>
      <c r="M135" s="23"/>
      <c r="N135" s="4"/>
      <c r="O135" s="23"/>
      <c r="P135" s="4"/>
      <c r="Q135" s="4"/>
      <c r="R135" s="4"/>
    </row>
    <row r="136" spans="1:18" x14ac:dyDescent="0.25">
      <c r="A136" s="876"/>
      <c r="B136" s="4"/>
      <c r="C136" s="23"/>
      <c r="D136" s="23"/>
      <c r="E136" s="23"/>
      <c r="F136" s="23"/>
      <c r="G136" s="23"/>
      <c r="H136" s="23"/>
      <c r="I136" s="23"/>
      <c r="J136" s="23"/>
      <c r="K136" s="23"/>
      <c r="L136" s="23"/>
      <c r="M136" s="23"/>
      <c r="N136" s="4"/>
      <c r="O136" s="23"/>
      <c r="P136" s="4"/>
      <c r="Q136" s="4"/>
      <c r="R136" s="4"/>
    </row>
    <row r="137" spans="1:18" x14ac:dyDescent="0.25">
      <c r="A137" s="876"/>
      <c r="B137" s="4"/>
      <c r="C137" s="23"/>
      <c r="D137" s="23"/>
      <c r="E137" s="23"/>
      <c r="F137" s="23"/>
      <c r="G137" s="23"/>
      <c r="H137" s="23"/>
      <c r="I137" s="23"/>
      <c r="J137" s="23"/>
      <c r="K137" s="23"/>
      <c r="L137" s="23"/>
      <c r="M137" s="23"/>
      <c r="N137" s="4"/>
      <c r="O137" s="23"/>
      <c r="P137" s="4"/>
      <c r="Q137" s="4"/>
      <c r="R137" s="4"/>
    </row>
    <row r="138" spans="1:18" x14ac:dyDescent="0.25">
      <c r="A138" s="876"/>
      <c r="B138" s="4"/>
      <c r="C138" s="23"/>
      <c r="D138" s="23"/>
      <c r="E138" s="23"/>
      <c r="F138" s="23"/>
      <c r="G138" s="23"/>
      <c r="H138" s="23"/>
      <c r="I138" s="23"/>
      <c r="J138" s="23"/>
      <c r="K138" s="23"/>
      <c r="L138" s="23"/>
      <c r="M138" s="23"/>
      <c r="N138" s="4"/>
      <c r="O138" s="23"/>
      <c r="P138" s="4"/>
      <c r="Q138" s="4"/>
      <c r="R138" s="4"/>
    </row>
    <row r="139" spans="1:18" x14ac:dyDescent="0.25">
      <c r="A139" s="876"/>
      <c r="B139" s="4"/>
      <c r="C139" s="23"/>
      <c r="D139" s="23"/>
      <c r="E139" s="23"/>
      <c r="F139" s="23"/>
      <c r="G139" s="23"/>
      <c r="H139" s="23"/>
      <c r="I139" s="23"/>
      <c r="J139" s="23"/>
      <c r="K139" s="23"/>
      <c r="L139" s="23"/>
      <c r="M139" s="23"/>
      <c r="N139" s="4"/>
      <c r="O139" s="23"/>
      <c r="P139" s="4"/>
      <c r="Q139" s="4"/>
      <c r="R139" s="4"/>
    </row>
    <row r="140" spans="1:18" x14ac:dyDescent="0.25">
      <c r="A140" s="876"/>
      <c r="B140" s="4"/>
      <c r="C140" s="23"/>
      <c r="D140" s="23"/>
      <c r="E140" s="23"/>
      <c r="F140" s="23"/>
      <c r="G140" s="23"/>
      <c r="H140" s="23"/>
      <c r="I140" s="23"/>
      <c r="J140" s="23"/>
      <c r="K140" s="23"/>
      <c r="L140" s="23"/>
      <c r="M140" s="23"/>
      <c r="N140" s="4"/>
      <c r="O140" s="23"/>
      <c r="P140" s="4"/>
      <c r="Q140" s="4"/>
      <c r="R140" s="4"/>
    </row>
    <row r="141" spans="1:18" x14ac:dyDescent="0.25">
      <c r="A141" s="876"/>
      <c r="B141" s="4"/>
      <c r="C141" s="23"/>
      <c r="D141" s="23"/>
      <c r="E141" s="23"/>
      <c r="F141" s="23"/>
      <c r="G141" s="23"/>
      <c r="H141" s="23"/>
      <c r="I141" s="23"/>
      <c r="J141" s="23"/>
      <c r="K141" s="23"/>
      <c r="L141" s="23"/>
      <c r="M141" s="23"/>
      <c r="N141" s="4"/>
      <c r="O141" s="23"/>
      <c r="P141" s="4"/>
      <c r="Q141" s="4"/>
      <c r="R141" s="4"/>
    </row>
    <row r="142" spans="1:18" x14ac:dyDescent="0.25">
      <c r="A142" s="876"/>
      <c r="B142" s="4"/>
      <c r="C142" s="23"/>
      <c r="D142" s="23"/>
      <c r="E142" s="23"/>
      <c r="F142" s="23"/>
      <c r="G142" s="23"/>
      <c r="H142" s="23"/>
      <c r="I142" s="23"/>
      <c r="J142" s="23"/>
      <c r="K142" s="23"/>
      <c r="L142" s="23"/>
      <c r="M142" s="23"/>
      <c r="N142" s="4"/>
      <c r="O142" s="23"/>
      <c r="P142" s="4"/>
      <c r="Q142" s="4"/>
      <c r="R142" s="4"/>
    </row>
    <row r="143" spans="1:18" x14ac:dyDescent="0.25">
      <c r="A143" s="876"/>
      <c r="B143" s="4"/>
      <c r="C143" s="23"/>
      <c r="D143" s="23"/>
      <c r="E143" s="23"/>
      <c r="F143" s="23"/>
      <c r="G143" s="23"/>
      <c r="H143" s="23"/>
      <c r="I143" s="23"/>
      <c r="J143" s="23"/>
      <c r="K143" s="23"/>
      <c r="L143" s="23"/>
      <c r="M143" s="23"/>
      <c r="N143" s="4"/>
      <c r="O143" s="23"/>
      <c r="P143" s="4"/>
      <c r="Q143" s="4"/>
      <c r="R143" s="4"/>
    </row>
    <row r="144" spans="1:18" x14ac:dyDescent="0.25">
      <c r="A144" s="876"/>
      <c r="B144" s="4"/>
      <c r="C144" s="23"/>
      <c r="D144" s="23"/>
      <c r="E144" s="23"/>
      <c r="F144" s="23"/>
      <c r="G144" s="23"/>
      <c r="H144" s="23"/>
      <c r="I144" s="23"/>
      <c r="J144" s="23"/>
      <c r="K144" s="23"/>
      <c r="L144" s="23"/>
      <c r="M144" s="23"/>
      <c r="N144" s="4"/>
      <c r="O144" s="23"/>
      <c r="P144" s="4"/>
      <c r="Q144" s="4"/>
      <c r="R144" s="4"/>
    </row>
    <row r="145" spans="1:18" x14ac:dyDescent="0.25">
      <c r="A145" s="876"/>
      <c r="B145" s="4"/>
      <c r="C145" s="23"/>
      <c r="D145" s="23"/>
      <c r="E145" s="23"/>
      <c r="F145" s="23"/>
      <c r="G145" s="23"/>
      <c r="H145" s="23"/>
      <c r="I145" s="23"/>
      <c r="J145" s="23"/>
      <c r="K145" s="23"/>
      <c r="L145" s="23"/>
      <c r="M145" s="23"/>
      <c r="N145" s="4"/>
      <c r="O145" s="23"/>
      <c r="P145" s="4"/>
      <c r="Q145" s="4"/>
      <c r="R145" s="4"/>
    </row>
    <row r="146" spans="1:18" x14ac:dyDescent="0.25">
      <c r="C146" s="114"/>
    </row>
    <row r="147" spans="1:18" x14ac:dyDescent="0.25">
      <c r="C147" s="114"/>
    </row>
    <row r="148" spans="1:18" x14ac:dyDescent="0.25">
      <c r="C148" s="114"/>
    </row>
    <row r="149" spans="1:18" x14ac:dyDescent="0.25">
      <c r="C149" s="114"/>
    </row>
    <row r="150" spans="1:18" x14ac:dyDescent="0.25">
      <c r="C150" s="114"/>
    </row>
    <row r="151" spans="1:18" x14ac:dyDescent="0.25">
      <c r="C151" s="114"/>
    </row>
    <row r="152" spans="1:18" x14ac:dyDescent="0.25">
      <c r="C152" s="114"/>
    </row>
    <row r="153" spans="1:18" x14ac:dyDescent="0.25">
      <c r="C153" s="114"/>
    </row>
    <row r="154" spans="1:18" x14ac:dyDescent="0.25">
      <c r="C154" s="114"/>
    </row>
    <row r="155" spans="1:18" x14ac:dyDescent="0.25">
      <c r="C155" s="114"/>
    </row>
    <row r="156" spans="1:18" x14ac:dyDescent="0.25">
      <c r="C156" s="114"/>
    </row>
    <row r="157" spans="1:18" x14ac:dyDescent="0.25">
      <c r="C157" s="114"/>
    </row>
    <row r="158" spans="1:18" x14ac:dyDescent="0.25">
      <c r="C158" s="114"/>
    </row>
    <row r="159" spans="1:18" x14ac:dyDescent="0.25">
      <c r="C159" s="114"/>
    </row>
    <row r="160" spans="1:18" x14ac:dyDescent="0.25">
      <c r="C160" s="114"/>
    </row>
    <row r="161" spans="3:3" x14ac:dyDescent="0.25">
      <c r="C161" s="114"/>
    </row>
    <row r="162" spans="3:3" x14ac:dyDescent="0.25">
      <c r="C162" s="114"/>
    </row>
    <row r="163" spans="3:3" x14ac:dyDescent="0.25">
      <c r="C163" s="114"/>
    </row>
    <row r="164" spans="3:3" x14ac:dyDescent="0.25">
      <c r="C164" s="114"/>
    </row>
    <row r="165" spans="3:3" x14ac:dyDescent="0.25">
      <c r="C165" s="114"/>
    </row>
    <row r="166" spans="3:3" x14ac:dyDescent="0.25">
      <c r="C166" s="114"/>
    </row>
    <row r="167" spans="3:3" x14ac:dyDescent="0.25">
      <c r="C167" s="114"/>
    </row>
    <row r="168" spans="3:3" x14ac:dyDescent="0.25">
      <c r="C168" s="114"/>
    </row>
    <row r="169" spans="3:3" x14ac:dyDescent="0.25">
      <c r="C169" s="114"/>
    </row>
    <row r="170" spans="3:3" x14ac:dyDescent="0.25">
      <c r="C170" s="114"/>
    </row>
    <row r="171" spans="3:3" x14ac:dyDescent="0.25">
      <c r="C171" s="114"/>
    </row>
    <row r="172" spans="3:3" x14ac:dyDescent="0.25">
      <c r="C172" s="114"/>
    </row>
    <row r="173" spans="3:3" x14ac:dyDescent="0.25">
      <c r="C173" s="114"/>
    </row>
    <row r="174" spans="3:3" x14ac:dyDescent="0.25">
      <c r="C174" s="114"/>
    </row>
    <row r="175" spans="3:3" x14ac:dyDescent="0.25">
      <c r="C175" s="114"/>
    </row>
    <row r="176" spans="3:3" x14ac:dyDescent="0.25">
      <c r="C176" s="114"/>
    </row>
    <row r="177" spans="3:3" x14ac:dyDescent="0.25">
      <c r="C177" s="114"/>
    </row>
    <row r="178" spans="3:3" x14ac:dyDescent="0.25">
      <c r="C178" s="114"/>
    </row>
    <row r="179" spans="3:3" x14ac:dyDescent="0.25">
      <c r="C179" s="114"/>
    </row>
    <row r="180" spans="3:3" x14ac:dyDescent="0.25">
      <c r="C180" s="114"/>
    </row>
    <row r="181" spans="3:3" x14ac:dyDescent="0.25">
      <c r="C181" s="114"/>
    </row>
    <row r="182" spans="3:3" x14ac:dyDescent="0.25">
      <c r="C182" s="114"/>
    </row>
    <row r="183" spans="3:3" x14ac:dyDescent="0.25">
      <c r="C183" s="114"/>
    </row>
    <row r="184" spans="3:3" x14ac:dyDescent="0.25">
      <c r="C184" s="114"/>
    </row>
    <row r="185" spans="3:3" x14ac:dyDescent="0.25">
      <c r="C185" s="114"/>
    </row>
    <row r="186" spans="3:3" x14ac:dyDescent="0.25">
      <c r="C186" s="114"/>
    </row>
    <row r="187" spans="3:3" x14ac:dyDescent="0.25">
      <c r="C187" s="114"/>
    </row>
    <row r="188" spans="3:3" x14ac:dyDescent="0.25">
      <c r="C188" s="114"/>
    </row>
    <row r="189" spans="3:3" x14ac:dyDescent="0.25">
      <c r="C189" s="114"/>
    </row>
    <row r="190" spans="3:3" x14ac:dyDescent="0.25">
      <c r="C190" s="114"/>
    </row>
    <row r="191" spans="3:3" x14ac:dyDescent="0.25">
      <c r="C191" s="114"/>
    </row>
    <row r="192" spans="3:3" x14ac:dyDescent="0.25">
      <c r="C192" s="114"/>
    </row>
  </sheetData>
  <phoneticPr fontId="0" type="noConversion"/>
  <hyperlinks>
    <hyperlink ref="A1" location="'Working Budget with funding det'!A1" display="Main " xr:uid="{00000000-0004-0000-0D00-000000000000}"/>
    <hyperlink ref="B1" location="'Table of Contents'!A1" display="TOC" xr:uid="{00000000-0004-0000-0D00-000001000000}"/>
  </hyperlinks>
  <pageMargins left="0.75" right="0.75" top="1" bottom="1" header="0.5" footer="0.5"/>
  <pageSetup orientation="landscape" horizontalDpi="300" verticalDpi="300" r:id="rId1"/>
  <headerFooter alignWithMargins="0">
    <oddFooter>&amp;L&amp;D     &amp;T&amp;C&amp;F&amp;R&amp;A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S213"/>
  <sheetViews>
    <sheetView workbookViewId="0">
      <pane ySplit="7" topLeftCell="A9" activePane="bottomLeft" state="frozen"/>
      <selection activeCell="P7" sqref="P7"/>
      <selection pane="bottomLeft" activeCell="A32" sqref="A32"/>
    </sheetView>
  </sheetViews>
  <sheetFormatPr defaultRowHeight="13.2" x14ac:dyDescent="0.25"/>
  <cols>
    <col min="1" max="1" width="11.33203125" style="885" customWidth="1"/>
    <col min="2" max="2" width="36.6640625" customWidth="1"/>
    <col min="3" max="3" width="14.44140625" style="1" hidden="1" customWidth="1"/>
    <col min="4" max="10" width="14.44140625" style="114" hidden="1" customWidth="1"/>
    <col min="11" max="13" width="14.44140625" style="114" customWidth="1"/>
    <col min="14" max="14" width="14.44140625" customWidth="1"/>
    <col min="15" max="16" width="14.44140625" style="1" customWidth="1"/>
    <col min="17" max="18" width="14.44140625" customWidth="1"/>
  </cols>
  <sheetData>
    <row r="1" spans="1:19" x14ac:dyDescent="0.25">
      <c r="A1" s="874" t="s">
        <v>1021</v>
      </c>
      <c r="B1" s="371" t="s">
        <v>1348</v>
      </c>
      <c r="P1"/>
    </row>
    <row r="2" spans="1:19" ht="13.8" x14ac:dyDescent="0.25">
      <c r="A2" s="875" t="s">
        <v>259</v>
      </c>
      <c r="B2" s="45"/>
      <c r="E2" s="141"/>
      <c r="I2" s="141" t="s">
        <v>257</v>
      </c>
      <c r="J2" s="141"/>
      <c r="K2" s="141"/>
      <c r="L2" s="141"/>
      <c r="M2" s="141"/>
      <c r="N2" s="61" t="s">
        <v>361</v>
      </c>
      <c r="O2" s="114"/>
      <c r="P2" s="46" t="s">
        <v>478</v>
      </c>
      <c r="S2" s="80"/>
    </row>
    <row r="3" spans="1:19" ht="13.8" thickBot="1" x14ac:dyDescent="0.3">
      <c r="A3" s="876"/>
      <c r="B3" s="4"/>
      <c r="C3" s="23"/>
      <c r="D3" s="23"/>
      <c r="E3" s="23"/>
      <c r="F3" s="23"/>
      <c r="G3" s="23"/>
      <c r="H3" s="23"/>
      <c r="I3" s="23"/>
      <c r="J3" s="23"/>
      <c r="K3" s="23"/>
      <c r="L3" s="23"/>
      <c r="M3" s="23"/>
      <c r="N3" s="4"/>
      <c r="O3" s="23"/>
      <c r="P3" s="4"/>
    </row>
    <row r="4" spans="1:19" ht="13.8" thickTop="1" x14ac:dyDescent="0.25">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7" t="s">
        <v>910</v>
      </c>
      <c r="P4" s="7" t="s">
        <v>910</v>
      </c>
    </row>
    <row r="5" spans="1:19" x14ac:dyDescent="0.25">
      <c r="A5" s="878"/>
      <c r="B5" s="209"/>
      <c r="C5" s="127"/>
      <c r="D5" s="87"/>
      <c r="E5" s="113"/>
      <c r="F5" s="87"/>
      <c r="G5" s="87"/>
      <c r="H5" s="113"/>
      <c r="I5" s="290"/>
      <c r="J5" s="290"/>
      <c r="K5" s="290"/>
      <c r="L5" s="290"/>
      <c r="M5" s="290"/>
      <c r="N5" s="113" t="s">
        <v>515</v>
      </c>
      <c r="O5" s="88" t="s">
        <v>7</v>
      </c>
      <c r="P5" s="203" t="s">
        <v>782</v>
      </c>
    </row>
    <row r="6" spans="1:19" x14ac:dyDescent="0.25">
      <c r="A6" s="878"/>
      <c r="B6" s="209"/>
      <c r="C6" s="127"/>
      <c r="D6" s="127"/>
      <c r="E6" s="127"/>
      <c r="F6" s="127"/>
      <c r="G6" s="127"/>
      <c r="H6" s="127"/>
      <c r="I6" s="88"/>
      <c r="J6" s="88"/>
      <c r="K6" s="88"/>
      <c r="L6" s="88"/>
      <c r="M6" s="88"/>
      <c r="N6" s="127"/>
      <c r="O6" s="88" t="s">
        <v>8</v>
      </c>
      <c r="P6" s="47" t="s">
        <v>543</v>
      </c>
    </row>
    <row r="7" spans="1:19"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44561</v>
      </c>
      <c r="O7" s="9" t="s">
        <v>9</v>
      </c>
      <c r="P7" s="9" t="s">
        <v>546</v>
      </c>
    </row>
    <row r="8" spans="1:19" ht="13.8" thickTop="1" x14ac:dyDescent="0.25">
      <c r="A8" s="908"/>
      <c r="B8" s="210"/>
      <c r="C8" s="132"/>
      <c r="D8" s="18"/>
      <c r="E8" s="18"/>
      <c r="F8" s="18"/>
      <c r="G8" s="18"/>
      <c r="H8" s="18"/>
      <c r="I8" s="19"/>
      <c r="J8" s="19"/>
      <c r="K8" s="19"/>
      <c r="L8" s="19"/>
      <c r="M8" s="19"/>
      <c r="N8" s="18"/>
      <c r="O8" s="19"/>
      <c r="P8" s="19"/>
    </row>
    <row r="9" spans="1:19" s="94" customFormat="1" ht="13.8" thickBot="1" x14ac:dyDescent="0.3">
      <c r="A9" s="881">
        <v>5111</v>
      </c>
      <c r="B9" s="98" t="s">
        <v>688</v>
      </c>
      <c r="C9" s="131">
        <v>62644.4</v>
      </c>
      <c r="D9" s="15">
        <f>129+62937</f>
        <v>63066</v>
      </c>
      <c r="E9" s="15">
        <v>64970</v>
      </c>
      <c r="F9" s="15">
        <v>66933</v>
      </c>
      <c r="G9" s="15">
        <v>68954</v>
      </c>
      <c r="H9" s="15">
        <v>69988</v>
      </c>
      <c r="I9" s="15">
        <v>71388</v>
      </c>
      <c r="J9" s="15">
        <v>73905</v>
      </c>
      <c r="K9" s="16">
        <v>75014</v>
      </c>
      <c r="L9" s="15">
        <v>75014</v>
      </c>
      <c r="M9" s="16">
        <v>76139</v>
      </c>
      <c r="N9" s="15">
        <v>36787.040000000001</v>
      </c>
      <c r="O9" s="16">
        <f>ROUND(+N32,0)</f>
        <v>76139</v>
      </c>
      <c r="P9" s="16"/>
    </row>
    <row r="10" spans="1:19" s="94" customFormat="1" ht="13.8" hidden="1" thickBot="1" x14ac:dyDescent="0.3">
      <c r="A10" s="881">
        <v>5114</v>
      </c>
      <c r="B10" s="110" t="s">
        <v>689</v>
      </c>
      <c r="C10" s="718">
        <v>739.48</v>
      </c>
      <c r="D10" s="39">
        <v>1464.56</v>
      </c>
      <c r="E10" s="39">
        <v>1903.42</v>
      </c>
      <c r="F10" s="39">
        <v>1211.77</v>
      </c>
      <c r="G10" s="39"/>
      <c r="H10" s="39"/>
      <c r="I10" s="39">
        <v>0</v>
      </c>
      <c r="J10" s="39"/>
      <c r="K10" s="40"/>
      <c r="L10" s="39"/>
      <c r="M10" s="40"/>
      <c r="N10" s="39"/>
      <c r="O10" s="40"/>
      <c r="P10" s="40"/>
    </row>
    <row r="11" spans="1:19" x14ac:dyDescent="0.25">
      <c r="A11" s="881"/>
      <c r="B11" s="64" t="s">
        <v>130</v>
      </c>
      <c r="C11" s="132">
        <f t="shared" ref="C11:J11" si="0">SUM(C9:C10)</f>
        <v>63383.880000000005</v>
      </c>
      <c r="D11" s="18">
        <f t="shared" si="0"/>
        <v>64530.559999999998</v>
      </c>
      <c r="E11" s="18">
        <f t="shared" si="0"/>
        <v>66873.42</v>
      </c>
      <c r="F11" s="18">
        <f t="shared" si="0"/>
        <v>68144.77</v>
      </c>
      <c r="G11" s="18">
        <f t="shared" si="0"/>
        <v>68954</v>
      </c>
      <c r="H11" s="18">
        <f t="shared" si="0"/>
        <v>69988</v>
      </c>
      <c r="I11" s="18">
        <f t="shared" si="0"/>
        <v>71388</v>
      </c>
      <c r="J11" s="18">
        <f t="shared" si="0"/>
        <v>73905</v>
      </c>
      <c r="K11" s="19">
        <f>SUM(K9:K10)</f>
        <v>75014</v>
      </c>
      <c r="L11" s="18">
        <f t="shared" ref="L11:M11" si="1">SUM(L9:L10)</f>
        <v>75014</v>
      </c>
      <c r="M11" s="19">
        <f t="shared" si="1"/>
        <v>76139</v>
      </c>
      <c r="N11" s="18">
        <f>SUM(N8:N10)</f>
        <v>36787.040000000001</v>
      </c>
      <c r="O11" s="19">
        <f>SUM(O9:O10)</f>
        <v>76139</v>
      </c>
      <c r="P11" s="19">
        <f>SUM(P9:P10)</f>
        <v>0</v>
      </c>
    </row>
    <row r="12" spans="1:19" x14ac:dyDescent="0.25">
      <c r="A12" s="881"/>
      <c r="B12" s="63"/>
      <c r="C12" s="130"/>
      <c r="D12" s="13"/>
      <c r="E12" s="13"/>
      <c r="F12" s="13"/>
      <c r="G12" s="13"/>
      <c r="H12" s="13"/>
      <c r="I12" s="13"/>
      <c r="J12" s="13"/>
      <c r="K12" s="14"/>
      <c r="L12" s="13"/>
      <c r="M12" s="14"/>
      <c r="N12" s="13"/>
      <c r="O12" s="14"/>
      <c r="P12" s="14"/>
    </row>
    <row r="13" spans="1:19" x14ac:dyDescent="0.25">
      <c r="A13" s="881">
        <v>5247</v>
      </c>
      <c r="B13" s="63" t="s">
        <v>378</v>
      </c>
      <c r="C13" s="130">
        <v>3734</v>
      </c>
      <c r="D13" s="13">
        <v>3809</v>
      </c>
      <c r="E13" s="13">
        <v>3885</v>
      </c>
      <c r="F13" s="13">
        <v>3963</v>
      </c>
      <c r="G13" s="13">
        <v>4082</v>
      </c>
      <c r="H13" s="13">
        <v>4204</v>
      </c>
      <c r="I13" s="144">
        <v>4289</v>
      </c>
      <c r="J13" s="144">
        <v>4375</v>
      </c>
      <c r="K13" s="122">
        <v>4485</v>
      </c>
      <c r="L13" s="144">
        <v>4593</v>
      </c>
      <c r="M13" s="122">
        <v>4826</v>
      </c>
      <c r="N13" s="13">
        <v>4754</v>
      </c>
      <c r="O13" s="122">
        <v>5500</v>
      </c>
      <c r="P13" s="14"/>
    </row>
    <row r="14" spans="1:19" hidden="1" x14ac:dyDescent="0.25">
      <c r="A14" s="881">
        <v>5248</v>
      </c>
      <c r="B14" s="63" t="s">
        <v>138</v>
      </c>
      <c r="C14" s="130"/>
      <c r="D14" s="13">
        <v>0</v>
      </c>
      <c r="E14" s="13"/>
      <c r="F14" s="13"/>
      <c r="G14" s="13"/>
      <c r="H14" s="13"/>
      <c r="I14" s="13">
        <v>0</v>
      </c>
      <c r="J14" s="13"/>
      <c r="K14" s="14">
        <v>0</v>
      </c>
      <c r="L14" s="13"/>
      <c r="M14" s="14">
        <v>0</v>
      </c>
      <c r="N14" s="13"/>
      <c r="O14" s="14">
        <v>0</v>
      </c>
      <c r="P14" s="14"/>
    </row>
    <row r="15" spans="1:19" x14ac:dyDescent="0.25">
      <c r="A15" s="881">
        <v>5250</v>
      </c>
      <c r="B15" s="63" t="s">
        <v>1649</v>
      </c>
      <c r="C15" s="130"/>
      <c r="D15" s="13"/>
      <c r="E15" s="13"/>
      <c r="F15" s="13"/>
      <c r="G15" s="13"/>
      <c r="H15" s="13"/>
      <c r="I15" s="13"/>
      <c r="J15" s="13"/>
      <c r="K15" s="14"/>
      <c r="L15" s="13"/>
      <c r="M15" s="14"/>
      <c r="N15" s="13"/>
      <c r="O15" s="14">
        <v>3500</v>
      </c>
      <c r="P15" s="14"/>
    </row>
    <row r="16" spans="1:19" x14ac:dyDescent="0.25">
      <c r="A16" s="881">
        <v>5305</v>
      </c>
      <c r="B16" s="63" t="s">
        <v>148</v>
      </c>
      <c r="C16" s="130">
        <v>225</v>
      </c>
      <c r="D16" s="13">
        <v>134.18</v>
      </c>
      <c r="E16" s="13">
        <v>264.49</v>
      </c>
      <c r="F16" s="13">
        <v>137.47999999999999</v>
      </c>
      <c r="G16" s="13">
        <v>151.94999999999999</v>
      </c>
      <c r="H16" s="13">
        <v>138.47</v>
      </c>
      <c r="I16" s="13">
        <v>139.37</v>
      </c>
      <c r="J16" s="13">
        <v>150.78</v>
      </c>
      <c r="K16" s="14">
        <v>160</v>
      </c>
      <c r="L16" s="13">
        <v>156.44999999999999</v>
      </c>
      <c r="M16" s="14">
        <v>160</v>
      </c>
      <c r="N16" s="13"/>
      <c r="O16" s="14">
        <v>175</v>
      </c>
      <c r="P16" s="14"/>
    </row>
    <row r="17" spans="1:18" x14ac:dyDescent="0.25">
      <c r="A17" s="881">
        <v>5314</v>
      </c>
      <c r="B17" s="63" t="s">
        <v>139</v>
      </c>
      <c r="C17" s="130">
        <v>290</v>
      </c>
      <c r="D17" s="13">
        <v>20</v>
      </c>
      <c r="E17" s="13">
        <v>340</v>
      </c>
      <c r="F17" s="13">
        <v>290</v>
      </c>
      <c r="G17" s="13">
        <v>290</v>
      </c>
      <c r="H17" s="13">
        <v>340</v>
      </c>
      <c r="I17" s="13">
        <v>0</v>
      </c>
      <c r="J17" s="13"/>
      <c r="K17" s="14">
        <v>350</v>
      </c>
      <c r="L17" s="13">
        <v>75</v>
      </c>
      <c r="M17" s="14">
        <v>350</v>
      </c>
      <c r="N17" s="13"/>
      <c r="O17" s="14">
        <v>350</v>
      </c>
      <c r="P17" s="14"/>
    </row>
    <row r="18" spans="1:18" hidden="1" x14ac:dyDescent="0.25">
      <c r="A18" s="881">
        <v>5341</v>
      </c>
      <c r="B18" s="63" t="s">
        <v>141</v>
      </c>
      <c r="C18" s="130">
        <v>209.06</v>
      </c>
      <c r="D18" s="13">
        <v>204.61</v>
      </c>
      <c r="E18" s="13">
        <v>206.02</v>
      </c>
      <c r="F18" s="13">
        <v>212.43</v>
      </c>
      <c r="G18" s="13">
        <v>217.4</v>
      </c>
      <c r="H18" s="13"/>
      <c r="I18" s="13"/>
      <c r="J18" s="13"/>
      <c r="K18" s="14"/>
      <c r="L18" s="13"/>
      <c r="M18" s="14"/>
      <c r="N18" s="13"/>
      <c r="O18" s="14"/>
      <c r="P18" s="14"/>
    </row>
    <row r="19" spans="1:18" x14ac:dyDescent="0.25">
      <c r="A19" s="881">
        <v>5344</v>
      </c>
      <c r="B19" s="63" t="s">
        <v>142</v>
      </c>
      <c r="C19" s="130">
        <v>53.02</v>
      </c>
      <c r="D19" s="13">
        <v>18.420000000000002</v>
      </c>
      <c r="E19" s="13">
        <v>29.4</v>
      </c>
      <c r="F19" s="13">
        <v>11.86</v>
      </c>
      <c r="G19" s="13">
        <v>9.33</v>
      </c>
      <c r="H19" s="13">
        <v>9.41</v>
      </c>
      <c r="I19" s="13">
        <v>78.010000000000005</v>
      </c>
      <c r="J19" s="13">
        <v>13.1</v>
      </c>
      <c r="K19" s="14">
        <v>25</v>
      </c>
      <c r="L19" s="13">
        <v>108.3</v>
      </c>
      <c r="M19" s="14">
        <v>25</v>
      </c>
      <c r="N19" s="13">
        <v>21.5</v>
      </c>
      <c r="O19" s="14">
        <v>36</v>
      </c>
      <c r="P19" s="14"/>
    </row>
    <row r="20" spans="1:18" x14ac:dyDescent="0.25">
      <c r="A20" s="881">
        <v>5380</v>
      </c>
      <c r="B20" s="12" t="s">
        <v>1652</v>
      </c>
      <c r="C20" s="18"/>
      <c r="D20" s="18"/>
      <c r="E20" s="18"/>
      <c r="F20" s="18">
        <v>975</v>
      </c>
      <c r="G20" s="18"/>
      <c r="H20" s="18"/>
      <c r="I20" s="18"/>
      <c r="J20" s="18"/>
      <c r="K20" s="19"/>
      <c r="L20" s="18"/>
      <c r="M20" s="19"/>
      <c r="N20" s="18">
        <v>320.98</v>
      </c>
      <c r="O20" s="19">
        <v>1000</v>
      </c>
      <c r="P20" s="19"/>
    </row>
    <row r="21" spans="1:18" x14ac:dyDescent="0.25">
      <c r="A21" s="881">
        <v>5420</v>
      </c>
      <c r="B21" s="12" t="s">
        <v>144</v>
      </c>
      <c r="C21" s="18">
        <v>1648.08</v>
      </c>
      <c r="D21" s="18">
        <v>811.68</v>
      </c>
      <c r="E21" s="18">
        <v>2170.5300000000002</v>
      </c>
      <c r="F21" s="18">
        <v>1027.83</v>
      </c>
      <c r="G21" s="18">
        <v>1293.81</v>
      </c>
      <c r="H21" s="18">
        <v>1063.06</v>
      </c>
      <c r="I21" s="126">
        <v>1577.23</v>
      </c>
      <c r="J21" s="126">
        <v>1122.6400000000001</v>
      </c>
      <c r="K21" s="124">
        <v>1700</v>
      </c>
      <c r="L21" s="126">
        <v>1592.57</v>
      </c>
      <c r="M21" s="124">
        <v>1700</v>
      </c>
      <c r="N21" s="18">
        <v>506.65</v>
      </c>
      <c r="O21" s="124">
        <v>1700</v>
      </c>
      <c r="P21" s="124"/>
    </row>
    <row r="22" spans="1:18" hidden="1" x14ac:dyDescent="0.25">
      <c r="A22" s="881">
        <v>5590</v>
      </c>
      <c r="B22" s="12" t="s">
        <v>1002</v>
      </c>
      <c r="C22" s="18"/>
      <c r="D22" s="18"/>
      <c r="E22" s="18"/>
      <c r="F22" s="18">
        <v>1435.58</v>
      </c>
      <c r="G22" s="18"/>
      <c r="H22" s="18"/>
      <c r="I22" s="126"/>
      <c r="J22" s="126">
        <v>757.32</v>
      </c>
      <c r="K22" s="124"/>
      <c r="L22" s="126"/>
      <c r="M22" s="124"/>
      <c r="N22" s="18"/>
      <c r="O22" s="124"/>
      <c r="P22" s="124"/>
    </row>
    <row r="23" spans="1:18" x14ac:dyDescent="0.25">
      <c r="A23" s="881">
        <v>5710</v>
      </c>
      <c r="B23" s="12" t="s">
        <v>535</v>
      </c>
      <c r="C23" s="18">
        <v>85.52</v>
      </c>
      <c r="D23" s="18">
        <v>21.21</v>
      </c>
      <c r="E23" s="18">
        <v>117.08</v>
      </c>
      <c r="F23" s="18">
        <v>189.15</v>
      </c>
      <c r="G23" s="18">
        <v>49.86</v>
      </c>
      <c r="H23" s="18">
        <v>107.21</v>
      </c>
      <c r="I23" s="18">
        <v>0</v>
      </c>
      <c r="J23" s="18"/>
      <c r="K23" s="19">
        <v>150</v>
      </c>
      <c r="L23" s="18"/>
      <c r="M23" s="19">
        <v>150</v>
      </c>
      <c r="N23" s="18"/>
      <c r="O23" s="19">
        <v>150</v>
      </c>
      <c r="P23" s="19"/>
    </row>
    <row r="24" spans="1:18" ht="13.8" thickBot="1" x14ac:dyDescent="0.3">
      <c r="A24" s="881">
        <v>5730</v>
      </c>
      <c r="B24" s="12" t="s">
        <v>147</v>
      </c>
      <c r="C24" s="15">
        <v>50</v>
      </c>
      <c r="D24" s="15">
        <v>50</v>
      </c>
      <c r="E24" s="15">
        <v>50</v>
      </c>
      <c r="F24" s="15">
        <v>50</v>
      </c>
      <c r="G24" s="15">
        <v>50</v>
      </c>
      <c r="H24" s="15">
        <v>50</v>
      </c>
      <c r="I24" s="15">
        <v>50</v>
      </c>
      <c r="J24" s="15">
        <v>50</v>
      </c>
      <c r="K24" s="16">
        <v>50</v>
      </c>
      <c r="L24" s="15">
        <v>50</v>
      </c>
      <c r="M24" s="16">
        <v>50</v>
      </c>
      <c r="N24" s="15">
        <v>50</v>
      </c>
      <c r="O24" s="16">
        <v>50</v>
      </c>
      <c r="P24" s="16"/>
    </row>
    <row r="25" spans="1:18" x14ac:dyDescent="0.25">
      <c r="A25" s="881"/>
      <c r="B25" s="17" t="s">
        <v>449</v>
      </c>
      <c r="C25" s="37">
        <f t="shared" ref="C25:I25" si="2">SUM(C13:C24)</f>
        <v>6294.6800000000012</v>
      </c>
      <c r="D25" s="37">
        <f t="shared" si="2"/>
        <v>5069.1000000000004</v>
      </c>
      <c r="E25" s="37">
        <f t="shared" si="2"/>
        <v>7062.52</v>
      </c>
      <c r="F25" s="37">
        <f>SUM(F13:F24)</f>
        <v>8292.33</v>
      </c>
      <c r="G25" s="37">
        <f>SUM(G13:G24)</f>
        <v>6144.3499999999995</v>
      </c>
      <c r="H25" s="37">
        <f>SUM(H13:H24)</f>
        <v>5912.1500000000005</v>
      </c>
      <c r="I25" s="37">
        <f t="shared" si="2"/>
        <v>6133.6100000000006</v>
      </c>
      <c r="J25" s="37">
        <f t="shared" ref="J25" si="3">SUM(J13:J24)</f>
        <v>6468.84</v>
      </c>
      <c r="K25" s="38">
        <f>SUM(K13:K24)</f>
        <v>6920</v>
      </c>
      <c r="L25" s="37">
        <f t="shared" ref="L25:M25" si="4">SUM(L13:L24)</f>
        <v>6575.32</v>
      </c>
      <c r="M25" s="38">
        <f t="shared" si="4"/>
        <v>7261</v>
      </c>
      <c r="N25" s="37">
        <f>SUM(N13:N24)</f>
        <v>5653.1299999999992</v>
      </c>
      <c r="O25" s="38">
        <f>SUM(O13:O24)</f>
        <v>12461</v>
      </c>
      <c r="P25" s="38">
        <f>SUM(P13:P24)</f>
        <v>0</v>
      </c>
    </row>
    <row r="26" spans="1:18" x14ac:dyDescent="0.25">
      <c r="A26" s="881"/>
      <c r="B26" s="12"/>
      <c r="C26" s="13"/>
      <c r="D26" s="13"/>
      <c r="E26" s="13"/>
      <c r="F26" s="13"/>
      <c r="G26" s="13"/>
      <c r="H26" s="13"/>
      <c r="I26" s="13"/>
      <c r="J26" s="13"/>
      <c r="K26" s="14"/>
      <c r="L26" s="13"/>
      <c r="M26" s="14"/>
      <c r="N26" s="13"/>
      <c r="O26" s="14"/>
      <c r="P26" s="14"/>
    </row>
    <row r="27" spans="1:18" ht="13.8" thickBot="1" x14ac:dyDescent="0.3">
      <c r="A27" s="882"/>
      <c r="B27" s="20" t="s">
        <v>453</v>
      </c>
      <c r="C27" s="21">
        <f t="shared" ref="C27:O27" si="5">+C25+C11</f>
        <v>69678.560000000012</v>
      </c>
      <c r="D27" s="21">
        <f t="shared" si="5"/>
        <v>69599.66</v>
      </c>
      <c r="E27" s="21">
        <f t="shared" si="5"/>
        <v>73935.94</v>
      </c>
      <c r="F27" s="21">
        <f t="shared" si="5"/>
        <v>76437.100000000006</v>
      </c>
      <c r="G27" s="21">
        <f t="shared" si="5"/>
        <v>75098.350000000006</v>
      </c>
      <c r="H27" s="21">
        <f t="shared" si="5"/>
        <v>75900.149999999994</v>
      </c>
      <c r="I27" s="21">
        <f t="shared" si="5"/>
        <v>77521.61</v>
      </c>
      <c r="J27" s="21">
        <f t="shared" si="5"/>
        <v>80373.84</v>
      </c>
      <c r="K27" s="41">
        <f t="shared" si="5"/>
        <v>81934</v>
      </c>
      <c r="L27" s="21">
        <f t="shared" si="5"/>
        <v>81589.320000000007</v>
      </c>
      <c r="M27" s="41">
        <f t="shared" si="5"/>
        <v>83400</v>
      </c>
      <c r="N27" s="21">
        <f t="shared" si="5"/>
        <v>42440.17</v>
      </c>
      <c r="O27" s="41">
        <f t="shared" si="5"/>
        <v>88600</v>
      </c>
      <c r="P27" s="41">
        <f>+O27</f>
        <v>88600</v>
      </c>
    </row>
    <row r="28" spans="1:18" ht="13.8" thickTop="1" x14ac:dyDescent="0.25">
      <c r="A28" s="876"/>
      <c r="B28" s="4"/>
      <c r="C28" s="24"/>
      <c r="D28" s="24"/>
      <c r="E28" s="24"/>
      <c r="F28" s="24"/>
      <c r="G28" s="24"/>
      <c r="H28" s="24"/>
      <c r="I28" s="24"/>
      <c r="J28" s="24"/>
      <c r="K28" s="24"/>
      <c r="L28" s="24"/>
      <c r="M28" s="24"/>
      <c r="N28" s="25"/>
      <c r="O28" s="24"/>
      <c r="P28" s="23"/>
      <c r="Q28" s="25"/>
      <c r="R28" s="25"/>
    </row>
    <row r="29" spans="1:18" ht="13.8" thickBot="1" x14ac:dyDescent="0.3">
      <c r="A29" s="876" t="s">
        <v>527</v>
      </c>
      <c r="B29" s="4"/>
      <c r="P29" s="27"/>
    </row>
    <row r="30" spans="1:18" ht="13.8" thickTop="1" x14ac:dyDescent="0.25">
      <c r="A30" s="942" t="s">
        <v>578</v>
      </c>
      <c r="B30" s="107"/>
      <c r="D30" s="351"/>
      <c r="K30" s="316" t="s">
        <v>85</v>
      </c>
      <c r="L30" s="156"/>
      <c r="M30" s="168"/>
      <c r="N30" s="168" t="s">
        <v>579</v>
      </c>
      <c r="P30" s="254"/>
    </row>
    <row r="31" spans="1:18" ht="13.8" thickBot="1" x14ac:dyDescent="0.3">
      <c r="A31" s="943" t="s">
        <v>581</v>
      </c>
      <c r="B31" s="109" t="s">
        <v>528</v>
      </c>
      <c r="D31" s="353"/>
      <c r="K31" s="343">
        <v>44743</v>
      </c>
      <c r="L31" s="159"/>
      <c r="M31" s="160"/>
      <c r="N31" s="160" t="s">
        <v>106</v>
      </c>
      <c r="P31" s="254"/>
    </row>
    <row r="32" spans="1:18" ht="13.8" thickTop="1" x14ac:dyDescent="0.25">
      <c r="A32" s="151">
        <v>36416</v>
      </c>
      <c r="B32" s="110" t="s">
        <v>384</v>
      </c>
      <c r="D32" s="18"/>
      <c r="K32" s="18" t="s">
        <v>1313</v>
      </c>
      <c r="L32" s="18"/>
      <c r="M32" s="18"/>
      <c r="N32" s="228">
        <f>+'NAGE &amp; Non-Union Wages'!L10</f>
        <v>76139</v>
      </c>
      <c r="P32" s="25"/>
    </row>
    <row r="33" spans="1:16" ht="13.8" thickBot="1" x14ac:dyDescent="0.3">
      <c r="A33" s="905"/>
      <c r="B33" s="26"/>
      <c r="C33" s="24"/>
      <c r="D33" s="24"/>
      <c r="E33" s="24"/>
      <c r="I33" s="24"/>
      <c r="J33" s="24"/>
      <c r="K33" s="24"/>
      <c r="L33" s="24"/>
      <c r="M33" s="24"/>
      <c r="N33" s="24"/>
      <c r="O33" s="221"/>
      <c r="P33" s="25"/>
    </row>
    <row r="34" spans="1:16" ht="13.8" thickTop="1" x14ac:dyDescent="0.25">
      <c r="A34" s="877"/>
      <c r="B34" s="6"/>
      <c r="C34" s="128" t="s">
        <v>127</v>
      </c>
      <c r="D34" s="258" t="s">
        <v>127</v>
      </c>
      <c r="E34" s="258" t="s">
        <v>127</v>
      </c>
      <c r="K34" s="455" t="s">
        <v>547</v>
      </c>
      <c r="L34" s="456" t="s">
        <v>9</v>
      </c>
      <c r="M34" s="457" t="s">
        <v>1073</v>
      </c>
      <c r="N34" s="456" t="s">
        <v>686</v>
      </c>
      <c r="O34" s="458"/>
      <c r="P34" s="457"/>
    </row>
    <row r="35" spans="1:16" ht="13.8" thickBot="1" x14ac:dyDescent="0.3">
      <c r="A35" s="894" t="s">
        <v>128</v>
      </c>
      <c r="B35" s="459"/>
      <c r="C35" s="460" t="s">
        <v>347</v>
      </c>
      <c r="D35" s="460" t="s">
        <v>722</v>
      </c>
      <c r="E35" s="461" t="s">
        <v>737</v>
      </c>
      <c r="K35" s="462" t="s">
        <v>909</v>
      </c>
      <c r="L35" s="462" t="s">
        <v>910</v>
      </c>
      <c r="M35" s="461" t="s">
        <v>1075</v>
      </c>
      <c r="N35" s="463" t="s">
        <v>1075</v>
      </c>
      <c r="O35" s="464" t="s">
        <v>1074</v>
      </c>
      <c r="P35" s="462"/>
    </row>
    <row r="36" spans="1:16" ht="13.8" thickTop="1" x14ac:dyDescent="0.25">
      <c r="A36" s="910"/>
      <c r="B36" s="480"/>
      <c r="C36" s="468"/>
      <c r="D36" s="468"/>
      <c r="E36" s="468"/>
      <c r="K36" s="469"/>
      <c r="L36" s="468"/>
      <c r="M36" s="469"/>
      <c r="N36" s="468"/>
      <c r="O36" s="470"/>
      <c r="P36" s="471"/>
    </row>
    <row r="37" spans="1:16" x14ac:dyDescent="0.25">
      <c r="A37" s="907">
        <v>5111</v>
      </c>
      <c r="B37" s="472" t="s">
        <v>688</v>
      </c>
      <c r="C37" s="478">
        <v>62644.4</v>
      </c>
      <c r="D37" s="478">
        <f>129+62937</f>
        <v>63066</v>
      </c>
      <c r="E37" s="478">
        <v>64970</v>
      </c>
      <c r="K37" s="475">
        <f>+M9</f>
        <v>76139</v>
      </c>
      <c r="L37" s="656">
        <f>+O9</f>
        <v>76139</v>
      </c>
      <c r="M37" s="471">
        <f t="shared" ref="M37:M50" si="6">+L37-K37</f>
        <v>0</v>
      </c>
      <c r="N37" s="477" t="str">
        <f t="shared" ref="N37:N50" si="7">IF(K37+L37&lt;&gt;0,IF(K37&lt;&gt;0,IF(M37&lt;&gt;0,ROUND((+M37/K37),4),""),1),"")</f>
        <v/>
      </c>
      <c r="O37" s="470"/>
      <c r="P37" s="471"/>
    </row>
    <row r="38" spans="1:16" ht="13.8" hidden="1" thickBot="1" x14ac:dyDescent="0.3">
      <c r="A38" s="907">
        <v>5114</v>
      </c>
      <c r="B38" s="472" t="s">
        <v>689</v>
      </c>
      <c r="C38" s="474">
        <v>739.48</v>
      </c>
      <c r="D38" s="474">
        <v>1464.56</v>
      </c>
      <c r="E38" s="474">
        <v>1903.42</v>
      </c>
      <c r="K38" s="475"/>
      <c r="L38" s="656">
        <f>+O10</f>
        <v>0</v>
      </c>
      <c r="M38" s="471">
        <f t="shared" si="6"/>
        <v>0</v>
      </c>
      <c r="N38" s="477" t="str">
        <f t="shared" si="7"/>
        <v/>
      </c>
      <c r="O38" s="470"/>
      <c r="P38" s="471"/>
    </row>
    <row r="39" spans="1:16" x14ac:dyDescent="0.25">
      <c r="A39" s="907">
        <v>5247</v>
      </c>
      <c r="B39" s="472" t="s">
        <v>378</v>
      </c>
      <c r="C39" s="476">
        <v>3734</v>
      </c>
      <c r="D39" s="476">
        <v>3809</v>
      </c>
      <c r="E39" s="476">
        <v>3885</v>
      </c>
      <c r="K39" s="469">
        <f>+M13</f>
        <v>4826</v>
      </c>
      <c r="L39" s="656">
        <f>+O13</f>
        <v>5500</v>
      </c>
      <c r="M39" s="471">
        <f t="shared" si="6"/>
        <v>674</v>
      </c>
      <c r="N39" s="477">
        <f t="shared" si="7"/>
        <v>0.13969999999999999</v>
      </c>
      <c r="O39" s="470" t="s">
        <v>1648</v>
      </c>
      <c r="P39" s="471"/>
    </row>
    <row r="40" spans="1:16" hidden="1" x14ac:dyDescent="0.25">
      <c r="A40" s="907">
        <v>5248</v>
      </c>
      <c r="B40" s="472" t="s">
        <v>138</v>
      </c>
      <c r="C40" s="476"/>
      <c r="D40" s="476">
        <v>0</v>
      </c>
      <c r="E40" s="476"/>
      <c r="K40" s="469">
        <f>+M14</f>
        <v>0</v>
      </c>
      <c r="L40" s="656">
        <f>+O14</f>
        <v>0</v>
      </c>
      <c r="M40" s="471">
        <f t="shared" si="6"/>
        <v>0</v>
      </c>
      <c r="N40" s="477" t="str">
        <f t="shared" si="7"/>
        <v/>
      </c>
      <c r="O40" s="470"/>
      <c r="P40" s="471"/>
    </row>
    <row r="41" spans="1:16" x14ac:dyDescent="0.25">
      <c r="A41" s="907">
        <v>5250</v>
      </c>
      <c r="B41" s="472" t="s">
        <v>1650</v>
      </c>
      <c r="C41" s="476"/>
      <c r="D41" s="476"/>
      <c r="E41" s="476"/>
      <c r="K41" s="469">
        <f>+M15</f>
        <v>0</v>
      </c>
      <c r="L41" s="656">
        <f>+O15</f>
        <v>3500</v>
      </c>
      <c r="M41" s="471">
        <f t="shared" ref="M41" si="8">+L41-K41</f>
        <v>3500</v>
      </c>
      <c r="N41" s="477">
        <f t="shared" si="7"/>
        <v>1</v>
      </c>
      <c r="O41" s="470" t="s">
        <v>1651</v>
      </c>
      <c r="P41" s="471"/>
    </row>
    <row r="42" spans="1:16" x14ac:dyDescent="0.25">
      <c r="A42" s="907">
        <v>5305</v>
      </c>
      <c r="B42" s="472" t="s">
        <v>148</v>
      </c>
      <c r="C42" s="476">
        <v>225</v>
      </c>
      <c r="D42" s="476">
        <v>134.18</v>
      </c>
      <c r="E42" s="476">
        <v>264.49</v>
      </c>
      <c r="K42" s="469">
        <f t="shared" ref="K42:K50" si="9">+M16</f>
        <v>160</v>
      </c>
      <c r="L42" s="656">
        <f t="shared" ref="L42:L50" si="10">+O16</f>
        <v>175</v>
      </c>
      <c r="M42" s="471">
        <f t="shared" si="6"/>
        <v>15</v>
      </c>
      <c r="N42" s="477">
        <f t="shared" si="7"/>
        <v>9.3799999999999994E-2</v>
      </c>
      <c r="O42" s="470" t="s">
        <v>1702</v>
      </c>
      <c r="P42" s="471"/>
    </row>
    <row r="43" spans="1:16" ht="14.25" customHeight="1" x14ac:dyDescent="0.25">
      <c r="A43" s="907">
        <v>5314</v>
      </c>
      <c r="B43" s="472" t="s">
        <v>139</v>
      </c>
      <c r="C43" s="476">
        <v>290</v>
      </c>
      <c r="D43" s="476">
        <v>20</v>
      </c>
      <c r="E43" s="476">
        <v>340</v>
      </c>
      <c r="K43" s="469">
        <f t="shared" si="9"/>
        <v>350</v>
      </c>
      <c r="L43" s="656">
        <f t="shared" si="10"/>
        <v>350</v>
      </c>
      <c r="M43" s="471">
        <f t="shared" si="6"/>
        <v>0</v>
      </c>
      <c r="N43" s="477" t="str">
        <f t="shared" si="7"/>
        <v/>
      </c>
      <c r="O43" s="470"/>
      <c r="P43" s="471"/>
    </row>
    <row r="44" spans="1:16" hidden="1" x14ac:dyDescent="0.25">
      <c r="A44" s="907">
        <v>5341</v>
      </c>
      <c r="B44" s="472" t="s">
        <v>141</v>
      </c>
      <c r="C44" s="476">
        <v>209.06</v>
      </c>
      <c r="D44" s="476">
        <v>204.61</v>
      </c>
      <c r="E44" s="476">
        <v>206.02</v>
      </c>
      <c r="K44" s="469">
        <f t="shared" si="9"/>
        <v>0</v>
      </c>
      <c r="L44" s="656">
        <f t="shared" si="10"/>
        <v>0</v>
      </c>
      <c r="M44" s="471">
        <f t="shared" si="6"/>
        <v>0</v>
      </c>
      <c r="N44" s="477" t="str">
        <f t="shared" si="7"/>
        <v/>
      </c>
      <c r="O44" s="470"/>
      <c r="P44" s="471"/>
    </row>
    <row r="45" spans="1:16" x14ac:dyDescent="0.25">
      <c r="A45" s="907">
        <v>5344</v>
      </c>
      <c r="B45" s="472" t="s">
        <v>142</v>
      </c>
      <c r="C45" s="476">
        <v>53.02</v>
      </c>
      <c r="D45" s="476">
        <v>18.420000000000002</v>
      </c>
      <c r="E45" s="476">
        <v>29.4</v>
      </c>
      <c r="K45" s="469">
        <f t="shared" si="9"/>
        <v>25</v>
      </c>
      <c r="L45" s="656">
        <f t="shared" si="10"/>
        <v>36</v>
      </c>
      <c r="M45" s="471">
        <f t="shared" si="6"/>
        <v>11</v>
      </c>
      <c r="N45" s="477">
        <f t="shared" si="7"/>
        <v>0.44</v>
      </c>
      <c r="O45" s="470" t="s">
        <v>1701</v>
      </c>
      <c r="P45" s="471"/>
    </row>
    <row r="46" spans="1:16" x14ac:dyDescent="0.25">
      <c r="A46" s="907">
        <v>5380</v>
      </c>
      <c r="B46" s="472" t="s">
        <v>958</v>
      </c>
      <c r="C46" s="468"/>
      <c r="D46" s="468"/>
      <c r="E46" s="468"/>
      <c r="K46" s="469">
        <f t="shared" si="9"/>
        <v>0</v>
      </c>
      <c r="L46" s="656">
        <f t="shared" si="10"/>
        <v>1000</v>
      </c>
      <c r="M46" s="471">
        <f t="shared" si="6"/>
        <v>1000</v>
      </c>
      <c r="N46" s="477">
        <f t="shared" si="7"/>
        <v>1</v>
      </c>
      <c r="O46" s="470" t="s">
        <v>1653</v>
      </c>
      <c r="P46" s="471"/>
    </row>
    <row r="47" spans="1:16" x14ac:dyDescent="0.25">
      <c r="A47" s="907">
        <v>5420</v>
      </c>
      <c r="B47" s="472" t="s">
        <v>144</v>
      </c>
      <c r="C47" s="468">
        <v>1648.08</v>
      </c>
      <c r="D47" s="468">
        <v>811.68</v>
      </c>
      <c r="E47" s="468">
        <v>2170.5300000000002</v>
      </c>
      <c r="K47" s="469">
        <f t="shared" si="9"/>
        <v>1700</v>
      </c>
      <c r="L47" s="656">
        <f t="shared" si="10"/>
        <v>1700</v>
      </c>
      <c r="M47" s="471">
        <f t="shared" si="6"/>
        <v>0</v>
      </c>
      <c r="N47" s="477" t="str">
        <f t="shared" si="7"/>
        <v/>
      </c>
      <c r="O47" s="470"/>
      <c r="P47" s="471"/>
    </row>
    <row r="48" spans="1:16" ht="12.75" customHeight="1" x14ac:dyDescent="0.25">
      <c r="A48" s="907">
        <v>5590</v>
      </c>
      <c r="B48" s="472" t="s">
        <v>1002</v>
      </c>
      <c r="C48" s="468"/>
      <c r="D48" s="468"/>
      <c r="E48" s="468"/>
      <c r="K48" s="469">
        <f t="shared" si="9"/>
        <v>0</v>
      </c>
      <c r="L48" s="656">
        <f t="shared" si="10"/>
        <v>0</v>
      </c>
      <c r="M48" s="471">
        <f t="shared" si="6"/>
        <v>0</v>
      </c>
      <c r="N48" s="477" t="str">
        <f t="shared" si="7"/>
        <v/>
      </c>
      <c r="O48" s="470"/>
      <c r="P48" s="471"/>
    </row>
    <row r="49" spans="1:18" x14ac:dyDescent="0.25">
      <c r="A49" s="907">
        <v>5710</v>
      </c>
      <c r="B49" s="472" t="s">
        <v>535</v>
      </c>
      <c r="C49" s="468">
        <v>85.52</v>
      </c>
      <c r="D49" s="468">
        <v>21.21</v>
      </c>
      <c r="E49" s="468">
        <v>117.08</v>
      </c>
      <c r="K49" s="469">
        <f t="shared" si="9"/>
        <v>150</v>
      </c>
      <c r="L49" s="656">
        <f t="shared" si="10"/>
        <v>150</v>
      </c>
      <c r="M49" s="471">
        <f t="shared" si="6"/>
        <v>0</v>
      </c>
      <c r="N49" s="477" t="str">
        <f t="shared" si="7"/>
        <v/>
      </c>
      <c r="O49" s="470"/>
      <c r="P49" s="471"/>
    </row>
    <row r="50" spans="1:18" ht="13.8" thickBot="1" x14ac:dyDescent="0.3">
      <c r="A50" s="907">
        <v>5730</v>
      </c>
      <c r="B50" s="472" t="s">
        <v>147</v>
      </c>
      <c r="C50" s="474">
        <v>50</v>
      </c>
      <c r="D50" s="474">
        <v>50</v>
      </c>
      <c r="E50" s="474">
        <v>50</v>
      </c>
      <c r="K50" s="469">
        <f t="shared" si="9"/>
        <v>50</v>
      </c>
      <c r="L50" s="497">
        <f t="shared" si="10"/>
        <v>50</v>
      </c>
      <c r="M50" s="471">
        <f t="shared" si="6"/>
        <v>0</v>
      </c>
      <c r="N50" s="477" t="str">
        <f t="shared" si="7"/>
        <v/>
      </c>
      <c r="O50" s="470"/>
      <c r="P50" s="471"/>
    </row>
    <row r="51" spans="1:18" x14ac:dyDescent="0.25">
      <c r="A51" s="905"/>
      <c r="B51" s="26"/>
      <c r="C51" s="24"/>
      <c r="D51" s="24"/>
      <c r="E51" s="24"/>
      <c r="F51" s="24"/>
      <c r="G51" s="24"/>
      <c r="K51" s="24"/>
      <c r="L51" s="24"/>
      <c r="M51" s="24"/>
      <c r="N51" s="24"/>
      <c r="O51" s="221"/>
      <c r="P51" s="25"/>
    </row>
    <row r="52" spans="1:18" x14ac:dyDescent="0.25">
      <c r="A52" s="905"/>
      <c r="B52" s="4" t="s">
        <v>1363</v>
      </c>
      <c r="C52" s="23"/>
      <c r="D52" s="23"/>
      <c r="E52" s="23"/>
      <c r="F52" s="23"/>
      <c r="G52" s="23"/>
      <c r="K52" s="742">
        <f>SUM(K37:K51)</f>
        <v>83400</v>
      </c>
      <c r="L52" s="742">
        <f>SUM(L37:L51)</f>
        <v>88600</v>
      </c>
      <c r="M52" s="202">
        <f>+L52-K52</f>
        <v>5200</v>
      </c>
      <c r="N52" s="743">
        <f>IF(K52+L52&lt;&gt;0,IF(K52&lt;&gt;0,IF(M52&lt;&gt;0,ROUND((+M52/K52),4),""),1),"")</f>
        <v>6.2399999999999997E-2</v>
      </c>
      <c r="O52" s="221"/>
      <c r="P52" s="25"/>
    </row>
    <row r="53" spans="1:18" x14ac:dyDescent="0.25">
      <c r="A53" s="905"/>
      <c r="B53" s="26"/>
      <c r="C53" s="24"/>
      <c r="D53" s="24"/>
      <c r="E53" s="24"/>
      <c r="F53" s="24"/>
      <c r="G53" s="24"/>
      <c r="H53" s="24"/>
      <c r="I53" s="24"/>
      <c r="J53" s="24"/>
      <c r="K53" s="24"/>
      <c r="L53" s="24"/>
      <c r="M53" s="24"/>
      <c r="N53" s="24"/>
      <c r="O53" s="221"/>
      <c r="P53" s="25"/>
    </row>
    <row r="54" spans="1:18" x14ac:dyDescent="0.25">
      <c r="A54" s="905"/>
      <c r="B54" s="26"/>
      <c r="C54" s="24"/>
      <c r="D54" s="24"/>
      <c r="E54" s="24"/>
      <c r="F54" s="24"/>
      <c r="G54" s="24"/>
      <c r="H54" s="24"/>
      <c r="I54" s="24"/>
      <c r="J54" s="24"/>
      <c r="K54" s="24"/>
      <c r="L54" s="24"/>
      <c r="M54" s="24"/>
      <c r="N54" s="24"/>
      <c r="O54" s="221"/>
      <c r="P54" s="25"/>
    </row>
    <row r="55" spans="1:18" x14ac:dyDescent="0.25">
      <c r="A55" s="905"/>
      <c r="B55" s="26"/>
      <c r="C55" s="24"/>
      <c r="D55" s="24"/>
      <c r="E55" s="24"/>
      <c r="F55" s="24"/>
      <c r="G55" s="24"/>
      <c r="H55" s="24"/>
      <c r="I55" s="24"/>
      <c r="J55" s="24"/>
      <c r="K55" s="24"/>
      <c r="L55" s="24"/>
      <c r="M55" s="24"/>
      <c r="N55" s="24"/>
      <c r="O55" s="221"/>
      <c r="P55" s="25"/>
    </row>
    <row r="56" spans="1:18" x14ac:dyDescent="0.25">
      <c r="A56" s="905"/>
      <c r="B56" s="26"/>
      <c r="C56" s="24"/>
      <c r="D56" s="24"/>
      <c r="E56" s="24"/>
      <c r="F56" s="24"/>
      <c r="G56" s="24"/>
      <c r="H56" s="24"/>
      <c r="I56" s="24"/>
      <c r="J56" s="24"/>
      <c r="K56" s="24"/>
      <c r="L56" s="24"/>
      <c r="M56" s="24"/>
      <c r="N56" s="24"/>
      <c r="O56" s="221"/>
      <c r="P56" s="25"/>
    </row>
    <row r="57" spans="1:18" x14ac:dyDescent="0.25">
      <c r="A57" s="876"/>
      <c r="B57" s="4"/>
      <c r="C57" s="24"/>
      <c r="D57" s="24"/>
      <c r="E57" s="24"/>
      <c r="F57" s="24"/>
      <c r="G57" s="24"/>
      <c r="H57" s="24"/>
      <c r="I57" s="24"/>
      <c r="J57" s="24"/>
      <c r="K57" s="24"/>
      <c r="L57" s="24"/>
      <c r="M57" s="24"/>
      <c r="N57" s="24"/>
      <c r="O57" s="221"/>
      <c r="P57" s="25"/>
    </row>
    <row r="58" spans="1:18" x14ac:dyDescent="0.25">
      <c r="A58" s="905"/>
      <c r="B58" s="26"/>
      <c r="C58" s="24"/>
      <c r="D58" s="24"/>
      <c r="E58" s="24"/>
      <c r="F58" s="24"/>
      <c r="G58" s="24"/>
      <c r="H58" s="24"/>
      <c r="I58" s="24"/>
      <c r="J58" s="24"/>
      <c r="K58" s="24"/>
      <c r="L58" s="24"/>
      <c r="M58" s="24"/>
      <c r="N58" s="24"/>
      <c r="O58" s="221"/>
      <c r="P58" s="25"/>
      <c r="R58" s="94"/>
    </row>
    <row r="59" spans="1:18" x14ac:dyDescent="0.25">
      <c r="A59" s="905"/>
      <c r="B59" s="26" t="s">
        <v>1034</v>
      </c>
      <c r="C59" s="24"/>
      <c r="D59" s="24"/>
      <c r="E59" s="24"/>
      <c r="F59" s="24"/>
      <c r="G59" s="24"/>
      <c r="H59" s="24"/>
      <c r="I59" s="24"/>
      <c r="J59" s="24"/>
      <c r="K59" s="24"/>
      <c r="L59" s="24"/>
      <c r="M59" s="24"/>
      <c r="N59" s="24"/>
      <c r="O59" s="25"/>
      <c r="P59" s="25"/>
      <c r="Q59" s="221"/>
      <c r="R59" s="94"/>
    </row>
    <row r="60" spans="1:18" x14ac:dyDescent="0.25">
      <c r="A60" s="905"/>
      <c r="B60" s="26" t="s">
        <v>1035</v>
      </c>
      <c r="C60" s="24"/>
      <c r="D60" s="217"/>
      <c r="E60" s="217"/>
      <c r="F60" s="217"/>
      <c r="G60" s="217"/>
      <c r="H60" s="217"/>
      <c r="I60" s="217"/>
      <c r="J60" s="217"/>
      <c r="K60" s="217"/>
      <c r="L60" s="217"/>
      <c r="M60" s="217"/>
      <c r="N60" s="94"/>
      <c r="O60" s="134"/>
      <c r="P60" s="134"/>
      <c r="Q60" s="94"/>
      <c r="R60" s="94"/>
    </row>
    <row r="61" spans="1:18" x14ac:dyDescent="0.25">
      <c r="A61" s="905"/>
      <c r="B61" s="26" t="s">
        <v>960</v>
      </c>
      <c r="C61" s="24"/>
      <c r="D61" s="217"/>
      <c r="E61" s="217"/>
      <c r="F61" s="217"/>
      <c r="G61" s="217"/>
      <c r="H61" s="217"/>
      <c r="I61" s="217"/>
      <c r="J61" s="217"/>
      <c r="K61" s="217"/>
      <c r="L61" s="217"/>
      <c r="M61" s="217"/>
      <c r="N61" s="94"/>
      <c r="O61" s="134"/>
      <c r="P61" s="134"/>
      <c r="Q61" s="94"/>
      <c r="R61" s="94"/>
    </row>
    <row r="62" spans="1:18" x14ac:dyDescent="0.25">
      <c r="A62" s="905"/>
      <c r="B62" s="26"/>
      <c r="C62" s="24"/>
      <c r="D62" s="217"/>
      <c r="E62" s="217"/>
      <c r="F62" s="217"/>
      <c r="G62" s="217"/>
      <c r="H62" s="217"/>
      <c r="I62" s="217"/>
      <c r="J62" s="217"/>
      <c r="K62" s="217"/>
      <c r="L62" s="217"/>
      <c r="M62" s="217"/>
      <c r="N62" s="94"/>
      <c r="O62" s="134"/>
      <c r="P62" s="134"/>
      <c r="Q62" s="94"/>
      <c r="R62" s="94"/>
    </row>
    <row r="63" spans="1:18" x14ac:dyDescent="0.25">
      <c r="A63" s="905"/>
      <c r="B63" s="26" t="s">
        <v>601</v>
      </c>
      <c r="C63" s="24" t="s">
        <v>598</v>
      </c>
      <c r="D63" s="217"/>
      <c r="E63" s="217"/>
      <c r="F63" s="217"/>
      <c r="G63" s="217"/>
      <c r="H63" s="217"/>
      <c r="I63" s="217"/>
      <c r="J63" s="217"/>
      <c r="K63" s="217"/>
      <c r="L63" s="217"/>
      <c r="M63" s="217"/>
      <c r="N63" s="94"/>
      <c r="O63" s="134"/>
      <c r="P63" s="134"/>
      <c r="Q63" s="94"/>
      <c r="R63" s="94"/>
    </row>
    <row r="64" spans="1:18" x14ac:dyDescent="0.25">
      <c r="A64" s="905"/>
      <c r="B64" s="26" t="s">
        <v>597</v>
      </c>
      <c r="C64" s="24"/>
      <c r="D64" s="24" t="s">
        <v>967</v>
      </c>
      <c r="E64" s="24"/>
      <c r="F64" s="24"/>
      <c r="G64" s="24">
        <v>770</v>
      </c>
      <c r="H64" s="24"/>
      <c r="I64" s="24"/>
      <c r="J64" s="24"/>
      <c r="K64" s="24"/>
      <c r="L64" s="24"/>
      <c r="M64" s="24"/>
      <c r="N64" s="25" t="s">
        <v>344</v>
      </c>
      <c r="O64" s="24"/>
      <c r="P64" s="24"/>
      <c r="Q64" s="25"/>
      <c r="R64" s="25"/>
    </row>
    <row r="65" spans="1:18" x14ac:dyDescent="0.25">
      <c r="A65" s="905"/>
      <c r="B65" s="26" t="s">
        <v>599</v>
      </c>
      <c r="C65" s="24">
        <v>200</v>
      </c>
      <c r="D65" s="24"/>
      <c r="E65" s="24"/>
      <c r="F65" s="24"/>
      <c r="G65" s="24">
        <v>250</v>
      </c>
      <c r="H65" s="24"/>
      <c r="I65" s="24"/>
      <c r="J65" s="24"/>
      <c r="K65" s="24"/>
      <c r="L65" s="24"/>
      <c r="M65" s="24"/>
      <c r="N65" s="25" t="s">
        <v>341</v>
      </c>
      <c r="O65" s="24">
        <v>4</v>
      </c>
      <c r="P65" s="24"/>
      <c r="Q65" s="25"/>
      <c r="R65" s="25"/>
    </row>
    <row r="66" spans="1:18" x14ac:dyDescent="0.25">
      <c r="A66" s="876"/>
      <c r="B66" s="26" t="s">
        <v>951</v>
      </c>
      <c r="C66" s="24">
        <v>750</v>
      </c>
      <c r="D66" s="24" t="s">
        <v>859</v>
      </c>
      <c r="E66" s="24"/>
      <c r="F66" s="24"/>
      <c r="G66" s="24">
        <v>600</v>
      </c>
      <c r="H66" s="24"/>
      <c r="I66" s="24"/>
      <c r="J66" s="24"/>
      <c r="K66" s="24"/>
      <c r="L66" s="24"/>
      <c r="M66" s="24"/>
      <c r="N66" s="27" t="s">
        <v>342</v>
      </c>
      <c r="O66" s="23">
        <v>3</v>
      </c>
      <c r="P66" s="23"/>
      <c r="Q66" s="27"/>
      <c r="R66" s="27"/>
    </row>
    <row r="67" spans="1:18" x14ac:dyDescent="0.25">
      <c r="A67" s="876"/>
      <c r="B67" s="26" t="s">
        <v>968</v>
      </c>
      <c r="C67" s="24">
        <v>120</v>
      </c>
      <c r="D67" s="24"/>
      <c r="E67" s="24"/>
      <c r="F67" s="24"/>
      <c r="G67" s="24">
        <v>120</v>
      </c>
      <c r="H67" s="24"/>
      <c r="I67" s="24"/>
      <c r="J67" s="24"/>
      <c r="K67" s="24"/>
      <c r="L67" s="24"/>
      <c r="M67" s="24"/>
      <c r="N67" s="27" t="s">
        <v>343</v>
      </c>
      <c r="O67" s="23">
        <v>1</v>
      </c>
      <c r="P67" s="23"/>
      <c r="Q67" s="27"/>
      <c r="R67" s="27"/>
    </row>
    <row r="68" spans="1:18" x14ac:dyDescent="0.25">
      <c r="A68" s="876"/>
      <c r="B68" s="26" t="s">
        <v>600</v>
      </c>
      <c r="C68" s="145">
        <v>230</v>
      </c>
      <c r="D68" s="24"/>
      <c r="E68" s="24"/>
      <c r="F68" s="24"/>
      <c r="G68" s="24">
        <v>160</v>
      </c>
      <c r="H68" s="24"/>
      <c r="I68" s="24"/>
      <c r="J68" s="24"/>
      <c r="K68" s="24"/>
      <c r="L68" s="24"/>
      <c r="M68" s="24"/>
      <c r="N68" s="27" t="s">
        <v>345</v>
      </c>
      <c r="O68" s="23">
        <v>1</v>
      </c>
      <c r="P68" s="23"/>
      <c r="Q68" s="27"/>
      <c r="R68" s="27"/>
    </row>
    <row r="69" spans="1:18" x14ac:dyDescent="0.25">
      <c r="A69" s="876"/>
      <c r="B69" s="26"/>
      <c r="C69" s="24">
        <f>SUM(C64:C68)</f>
        <v>1300</v>
      </c>
      <c r="D69" s="24"/>
      <c r="E69" s="24"/>
      <c r="F69" s="24"/>
      <c r="G69" s="24">
        <f>SUM(G64:G68)</f>
        <v>1900</v>
      </c>
      <c r="H69" s="24"/>
      <c r="I69" s="24"/>
      <c r="J69" s="24"/>
      <c r="K69" s="24"/>
      <c r="L69" s="24"/>
      <c r="M69" s="24"/>
      <c r="N69" s="27"/>
      <c r="O69" s="23"/>
      <c r="P69" s="23"/>
      <c r="Q69" s="27"/>
      <c r="R69" s="27"/>
    </row>
    <row r="70" spans="1:18" x14ac:dyDescent="0.25">
      <c r="A70" s="876"/>
      <c r="B70" s="26"/>
      <c r="C70" s="24"/>
      <c r="D70" s="24"/>
      <c r="E70" s="24"/>
      <c r="F70" s="24"/>
      <c r="G70" s="24"/>
      <c r="H70" s="24"/>
      <c r="I70" s="24"/>
      <c r="J70" s="24"/>
      <c r="K70" s="24"/>
      <c r="L70" s="24"/>
      <c r="M70" s="24"/>
      <c r="N70" s="23"/>
      <c r="O70" s="23"/>
      <c r="P70" s="23"/>
      <c r="Q70" s="23"/>
      <c r="R70" s="23"/>
    </row>
    <row r="71" spans="1:18" x14ac:dyDescent="0.25">
      <c r="A71" s="876"/>
      <c r="B71" s="26"/>
      <c r="C71" s="24"/>
      <c r="D71" s="24"/>
      <c r="E71" s="24"/>
      <c r="F71" s="24"/>
      <c r="G71" s="24"/>
      <c r="H71" s="24"/>
      <c r="I71" s="24"/>
      <c r="J71" s="24"/>
      <c r="K71" s="24"/>
      <c r="L71" s="24"/>
      <c r="M71" s="24"/>
      <c r="N71" s="27"/>
      <c r="O71" s="23"/>
      <c r="P71" s="23"/>
      <c r="Q71" s="27"/>
      <c r="R71" s="27"/>
    </row>
    <row r="72" spans="1:18" x14ac:dyDescent="0.25">
      <c r="A72" s="876"/>
      <c r="B72" s="4"/>
      <c r="C72" s="23"/>
      <c r="D72" s="23"/>
      <c r="E72" s="23"/>
      <c r="F72" s="23"/>
      <c r="G72" s="23"/>
      <c r="H72" s="23"/>
      <c r="I72" s="23"/>
      <c r="J72" s="23"/>
      <c r="K72" s="23"/>
      <c r="L72" s="23"/>
      <c r="M72" s="23"/>
      <c r="N72" s="27"/>
      <c r="O72" s="23"/>
      <c r="P72" s="23"/>
      <c r="Q72" s="27"/>
      <c r="R72" s="27"/>
    </row>
    <row r="73" spans="1:18" x14ac:dyDescent="0.25">
      <c r="A73" s="876"/>
      <c r="B73" s="4"/>
      <c r="C73" s="23"/>
      <c r="D73" s="23"/>
      <c r="E73" s="23"/>
      <c r="F73" s="23"/>
      <c r="G73" s="23"/>
      <c r="H73" s="23"/>
      <c r="I73" s="23"/>
      <c r="J73" s="23"/>
      <c r="K73" s="23"/>
      <c r="L73" s="23"/>
      <c r="M73" s="23"/>
      <c r="N73" s="27"/>
      <c r="O73" s="23"/>
      <c r="P73" s="23"/>
      <c r="Q73" s="27"/>
      <c r="R73" s="27"/>
    </row>
    <row r="74" spans="1:18" ht="13.8" x14ac:dyDescent="0.25">
      <c r="A74" s="940"/>
      <c r="B74" s="4"/>
      <c r="C74" s="23"/>
      <c r="D74" s="23"/>
      <c r="E74" s="23"/>
      <c r="F74" s="23"/>
      <c r="G74" s="23"/>
      <c r="H74" s="23"/>
      <c r="I74" s="23"/>
      <c r="J74" s="23"/>
      <c r="K74" s="23"/>
      <c r="L74" s="23"/>
      <c r="M74" s="23"/>
      <c r="N74" s="27"/>
      <c r="O74" s="23"/>
      <c r="P74" s="23"/>
      <c r="Q74" s="27"/>
      <c r="R74" s="27"/>
    </row>
    <row r="75" spans="1:18" x14ac:dyDescent="0.25">
      <c r="A75" s="876"/>
      <c r="B75" s="4"/>
      <c r="C75" s="23"/>
      <c r="D75" s="23"/>
      <c r="E75" s="23"/>
      <c r="F75" s="23"/>
      <c r="G75" s="23"/>
      <c r="H75" s="23"/>
      <c r="I75" s="23"/>
      <c r="J75" s="23"/>
      <c r="K75" s="23"/>
      <c r="L75" s="23"/>
      <c r="M75" s="23"/>
      <c r="N75" s="27"/>
      <c r="O75" s="23"/>
      <c r="P75" s="23"/>
      <c r="Q75" s="27"/>
      <c r="R75" s="27"/>
    </row>
    <row r="76" spans="1:18" x14ac:dyDescent="0.25">
      <c r="A76" s="876"/>
      <c r="B76" s="4"/>
      <c r="C76" s="23"/>
      <c r="D76" s="23"/>
      <c r="E76" s="23"/>
      <c r="F76" s="23"/>
      <c r="G76" s="23"/>
      <c r="H76" s="23"/>
      <c r="I76" s="23"/>
      <c r="J76" s="23"/>
      <c r="K76" s="23"/>
      <c r="L76" s="23"/>
      <c r="M76" s="23"/>
      <c r="N76" s="27"/>
      <c r="O76" s="23"/>
      <c r="P76" s="23"/>
      <c r="Q76" s="27"/>
      <c r="R76" s="27"/>
    </row>
    <row r="77" spans="1:18" x14ac:dyDescent="0.25">
      <c r="A77" s="876"/>
      <c r="B77" s="4"/>
      <c r="C77" s="23"/>
      <c r="D77" s="23"/>
      <c r="E77" s="23"/>
      <c r="F77" s="23"/>
      <c r="G77" s="23"/>
      <c r="H77" s="23"/>
      <c r="I77" s="23"/>
      <c r="J77" s="23"/>
      <c r="K77" s="23"/>
      <c r="L77" s="23"/>
      <c r="M77" s="23"/>
      <c r="N77" s="27"/>
      <c r="O77" s="23"/>
      <c r="P77" s="23"/>
      <c r="Q77" s="27"/>
      <c r="R77" s="27"/>
    </row>
    <row r="78" spans="1:18" x14ac:dyDescent="0.25">
      <c r="A78" s="876"/>
      <c r="B78" s="4"/>
      <c r="C78" s="23"/>
      <c r="D78" s="23"/>
      <c r="E78" s="23"/>
      <c r="F78" s="23"/>
      <c r="G78" s="23"/>
      <c r="H78" s="23"/>
      <c r="I78" s="23"/>
      <c r="J78" s="23"/>
      <c r="K78" s="23"/>
      <c r="L78" s="23"/>
      <c r="M78" s="23"/>
      <c r="N78" s="27"/>
      <c r="O78" s="23"/>
      <c r="P78" s="23"/>
      <c r="Q78" s="27"/>
      <c r="R78" s="27"/>
    </row>
    <row r="79" spans="1:18" x14ac:dyDescent="0.25">
      <c r="A79" s="876"/>
      <c r="B79" s="4"/>
      <c r="C79" s="23"/>
      <c r="D79" s="23"/>
      <c r="E79" s="23"/>
      <c r="F79" s="23"/>
      <c r="G79" s="23"/>
      <c r="H79" s="23"/>
      <c r="I79" s="23"/>
      <c r="J79" s="23"/>
      <c r="K79" s="23"/>
      <c r="L79" s="23"/>
      <c r="M79" s="23"/>
      <c r="N79" s="27"/>
      <c r="O79" s="23"/>
      <c r="P79" s="23"/>
      <c r="Q79" s="27"/>
      <c r="R79" s="27"/>
    </row>
    <row r="80" spans="1:18" x14ac:dyDescent="0.25">
      <c r="A80" s="876"/>
      <c r="B80" s="4"/>
      <c r="C80" s="23"/>
      <c r="D80" s="23"/>
      <c r="E80" s="23"/>
      <c r="F80" s="23"/>
      <c r="G80" s="23"/>
      <c r="H80" s="23"/>
      <c r="I80" s="23"/>
      <c r="J80" s="23"/>
      <c r="K80" s="23"/>
      <c r="L80" s="23"/>
      <c r="M80" s="23"/>
      <c r="N80" s="27"/>
      <c r="O80" s="23"/>
      <c r="P80" s="23"/>
      <c r="Q80" s="27"/>
      <c r="R80" s="27"/>
    </row>
    <row r="81" spans="1:18" x14ac:dyDescent="0.25">
      <c r="A81" s="876"/>
      <c r="B81" s="4"/>
      <c r="C81" s="23"/>
      <c r="D81" s="23"/>
      <c r="E81" s="23"/>
      <c r="F81" s="23"/>
      <c r="G81" s="23"/>
      <c r="H81" s="23"/>
      <c r="I81" s="23"/>
      <c r="J81" s="23"/>
      <c r="K81" s="23"/>
      <c r="L81" s="23"/>
      <c r="M81" s="23"/>
      <c r="N81" s="27"/>
      <c r="O81" s="23"/>
      <c r="P81" s="23"/>
      <c r="Q81" s="27"/>
      <c r="R81" s="27"/>
    </row>
    <row r="82" spans="1:18" x14ac:dyDescent="0.25">
      <c r="A82" s="876"/>
      <c r="B82" s="95"/>
      <c r="C82" s="105"/>
      <c r="D82" s="105"/>
      <c r="E82" s="105"/>
      <c r="F82" s="105"/>
      <c r="G82" s="105"/>
      <c r="H82" s="105"/>
      <c r="I82" s="105"/>
      <c r="J82" s="105"/>
      <c r="K82" s="105"/>
      <c r="L82" s="105"/>
      <c r="M82" s="105"/>
      <c r="N82" s="96"/>
      <c r="O82" s="105"/>
      <c r="P82" s="105"/>
      <c r="Q82" s="96"/>
      <c r="R82" s="96"/>
    </row>
    <row r="83" spans="1:18" x14ac:dyDescent="0.25">
      <c r="A83" s="876"/>
      <c r="B83" s="95"/>
      <c r="C83" s="105"/>
      <c r="D83" s="105"/>
      <c r="E83" s="105"/>
      <c r="F83" s="105"/>
      <c r="G83" s="105"/>
      <c r="H83" s="105"/>
      <c r="I83" s="105"/>
      <c r="J83" s="105"/>
      <c r="K83" s="105"/>
      <c r="L83" s="105"/>
      <c r="M83" s="105"/>
      <c r="N83" s="96"/>
      <c r="O83" s="105"/>
      <c r="P83" s="105"/>
      <c r="Q83" s="96"/>
      <c r="R83" s="96"/>
    </row>
    <row r="84" spans="1:18" x14ac:dyDescent="0.25">
      <c r="A84" s="876"/>
      <c r="B84" s="95"/>
      <c r="C84" s="105"/>
      <c r="D84" s="105"/>
      <c r="E84" s="105"/>
      <c r="F84" s="105"/>
      <c r="G84" s="105"/>
      <c r="H84" s="105"/>
      <c r="I84" s="105"/>
      <c r="J84" s="105"/>
      <c r="K84" s="105"/>
      <c r="L84" s="105"/>
      <c r="M84" s="105"/>
      <c r="N84" s="96"/>
      <c r="O84" s="105"/>
      <c r="P84" s="105"/>
      <c r="Q84" s="96"/>
      <c r="R84" s="96"/>
    </row>
    <row r="85" spans="1:18" x14ac:dyDescent="0.25">
      <c r="A85" s="876"/>
      <c r="B85" s="95"/>
      <c r="C85" s="105"/>
      <c r="D85" s="105"/>
      <c r="E85" s="105"/>
      <c r="F85" s="105"/>
      <c r="G85" s="105"/>
      <c r="H85" s="105"/>
      <c r="I85" s="105"/>
      <c r="J85" s="105"/>
      <c r="K85" s="105"/>
      <c r="L85" s="105"/>
      <c r="M85" s="105"/>
      <c r="N85" s="96"/>
      <c r="O85" s="105"/>
      <c r="P85" s="105"/>
      <c r="Q85" s="96"/>
      <c r="R85" s="96"/>
    </row>
    <row r="86" spans="1:18" x14ac:dyDescent="0.25">
      <c r="A86" s="876"/>
      <c r="B86" s="95"/>
      <c r="C86" s="105"/>
      <c r="D86" s="105"/>
      <c r="E86" s="105"/>
      <c r="F86" s="105"/>
      <c r="G86" s="105"/>
      <c r="H86" s="105"/>
      <c r="I86" s="105"/>
      <c r="J86" s="105"/>
      <c r="K86" s="105"/>
      <c r="L86" s="105"/>
      <c r="M86" s="105"/>
      <c r="N86" s="96"/>
      <c r="O86" s="105"/>
      <c r="P86" s="105"/>
      <c r="Q86" s="96"/>
      <c r="R86" s="96"/>
    </row>
    <row r="87" spans="1:18" x14ac:dyDescent="0.25">
      <c r="A87" s="876"/>
      <c r="B87" s="95"/>
      <c r="C87" s="105"/>
      <c r="D87" s="105"/>
      <c r="E87" s="105"/>
      <c r="F87" s="105"/>
      <c r="G87" s="105"/>
      <c r="H87" s="105"/>
      <c r="I87" s="105"/>
      <c r="J87" s="105"/>
      <c r="K87" s="105"/>
      <c r="L87" s="105"/>
      <c r="M87" s="105"/>
      <c r="N87" s="96"/>
      <c r="O87" s="105"/>
      <c r="P87" s="105"/>
      <c r="Q87" s="96"/>
      <c r="R87" s="96"/>
    </row>
    <row r="88" spans="1:18" x14ac:dyDescent="0.25">
      <c r="A88" s="876"/>
      <c r="B88" s="95"/>
      <c r="C88" s="105"/>
      <c r="D88" s="105"/>
      <c r="E88" s="105"/>
      <c r="F88" s="105"/>
      <c r="G88" s="105"/>
      <c r="H88" s="105"/>
      <c r="I88" s="105"/>
      <c r="J88" s="105"/>
      <c r="K88" s="105"/>
      <c r="L88" s="105"/>
      <c r="M88" s="105"/>
      <c r="N88" s="96"/>
      <c r="O88" s="105"/>
      <c r="P88" s="105"/>
      <c r="Q88" s="96"/>
      <c r="R88" s="96"/>
    </row>
    <row r="89" spans="1:18" x14ac:dyDescent="0.25">
      <c r="A89" s="876"/>
      <c r="B89" s="95"/>
      <c r="C89" s="105"/>
      <c r="D89" s="105"/>
      <c r="E89" s="105"/>
      <c r="F89" s="105"/>
      <c r="G89" s="105"/>
      <c r="H89" s="105"/>
      <c r="I89" s="105"/>
      <c r="J89" s="105"/>
      <c r="K89" s="105"/>
      <c r="L89" s="105"/>
      <c r="M89" s="105"/>
      <c r="N89" s="96"/>
      <c r="O89" s="105"/>
      <c r="P89" s="105"/>
      <c r="Q89" s="96"/>
      <c r="R89" s="96"/>
    </row>
    <row r="90" spans="1:18" x14ac:dyDescent="0.25">
      <c r="A90" s="876"/>
      <c r="B90" s="95"/>
      <c r="C90" s="105"/>
      <c r="D90" s="105"/>
      <c r="E90" s="105"/>
      <c r="F90" s="105"/>
      <c r="G90" s="105"/>
      <c r="H90" s="105"/>
      <c r="I90" s="105"/>
      <c r="J90" s="105"/>
      <c r="K90" s="105"/>
      <c r="L90" s="105"/>
      <c r="M90" s="105"/>
      <c r="N90" s="96"/>
      <c r="O90" s="105"/>
      <c r="P90" s="105"/>
      <c r="Q90" s="96"/>
      <c r="R90" s="96"/>
    </row>
    <row r="91" spans="1:18" x14ac:dyDescent="0.25">
      <c r="A91" s="876"/>
      <c r="B91" s="95"/>
      <c r="C91" s="105"/>
      <c r="D91" s="105"/>
      <c r="E91" s="105"/>
      <c r="F91" s="105"/>
      <c r="G91" s="105"/>
      <c r="H91" s="105"/>
      <c r="I91" s="105"/>
      <c r="J91" s="105"/>
      <c r="K91" s="105"/>
      <c r="L91" s="105"/>
      <c r="M91" s="105"/>
      <c r="N91" s="96"/>
      <c r="O91" s="105"/>
      <c r="P91" s="105"/>
      <c r="Q91" s="96"/>
      <c r="R91" s="96"/>
    </row>
    <row r="92" spans="1:18" x14ac:dyDescent="0.25">
      <c r="A92" s="876"/>
      <c r="B92" s="4"/>
      <c r="C92" s="23"/>
      <c r="D92" s="23"/>
      <c r="E92" s="23"/>
      <c r="F92" s="23"/>
      <c r="G92" s="23"/>
      <c r="H92" s="23"/>
      <c r="I92" s="23"/>
      <c r="J92" s="23"/>
      <c r="K92" s="23"/>
      <c r="L92" s="23"/>
      <c r="M92" s="23"/>
      <c r="N92" s="27"/>
      <c r="O92" s="23"/>
      <c r="P92" s="23"/>
      <c r="Q92" s="27"/>
      <c r="R92" s="27"/>
    </row>
    <row r="93" spans="1:18" x14ac:dyDescent="0.25">
      <c r="A93" s="876"/>
      <c r="B93" s="4"/>
      <c r="C93" s="23"/>
      <c r="D93" s="23"/>
      <c r="E93" s="23"/>
      <c r="F93" s="23"/>
      <c r="G93" s="23"/>
      <c r="H93" s="23"/>
      <c r="I93" s="23"/>
      <c r="J93" s="23"/>
      <c r="K93" s="23"/>
      <c r="L93" s="23"/>
      <c r="M93" s="23"/>
      <c r="N93" s="27"/>
      <c r="O93" s="23"/>
      <c r="P93" s="23"/>
      <c r="Q93" s="27"/>
      <c r="R93" s="27"/>
    </row>
    <row r="94" spans="1:18" x14ac:dyDescent="0.25">
      <c r="A94" s="876"/>
      <c r="B94" s="4"/>
      <c r="C94" s="23"/>
      <c r="D94" s="23"/>
      <c r="E94" s="23"/>
      <c r="F94" s="23"/>
      <c r="G94" s="23"/>
      <c r="H94" s="23"/>
      <c r="I94" s="23"/>
      <c r="J94" s="23"/>
      <c r="K94" s="23"/>
      <c r="L94" s="23"/>
      <c r="M94" s="23"/>
      <c r="N94" s="27"/>
      <c r="O94" s="23"/>
      <c r="P94" s="23"/>
      <c r="Q94" s="27"/>
      <c r="R94" s="27"/>
    </row>
    <row r="95" spans="1:18" x14ac:dyDescent="0.25">
      <c r="A95" s="876"/>
      <c r="B95" s="4"/>
      <c r="C95" s="23"/>
      <c r="D95" s="23"/>
      <c r="E95" s="23"/>
      <c r="F95" s="23"/>
      <c r="G95" s="23"/>
      <c r="H95" s="23"/>
      <c r="I95" s="23"/>
      <c r="J95" s="23"/>
      <c r="K95" s="23"/>
      <c r="L95" s="23"/>
      <c r="M95" s="23"/>
      <c r="N95" s="27"/>
      <c r="O95" s="23"/>
      <c r="P95" s="23"/>
      <c r="Q95" s="27"/>
      <c r="R95" s="27"/>
    </row>
    <row r="96" spans="1:18" x14ac:dyDescent="0.25">
      <c r="A96" s="876"/>
      <c r="B96" s="4"/>
      <c r="C96" s="23"/>
      <c r="D96" s="23"/>
      <c r="E96" s="23"/>
      <c r="F96" s="23"/>
      <c r="G96" s="23"/>
      <c r="H96" s="23"/>
      <c r="I96" s="23"/>
      <c r="J96" s="23"/>
      <c r="K96" s="23"/>
      <c r="L96" s="23"/>
      <c r="M96" s="23"/>
      <c r="N96" s="27"/>
      <c r="O96" s="23"/>
      <c r="P96" s="23"/>
      <c r="Q96" s="27"/>
      <c r="R96" s="27"/>
    </row>
    <row r="97" spans="1:18" x14ac:dyDescent="0.25">
      <c r="A97" s="876"/>
      <c r="B97" s="4"/>
      <c r="C97" s="23"/>
      <c r="D97" s="23"/>
      <c r="E97" s="23"/>
      <c r="F97" s="23"/>
      <c r="G97" s="23"/>
      <c r="H97" s="23"/>
      <c r="I97" s="23"/>
      <c r="J97" s="23"/>
      <c r="K97" s="23"/>
      <c r="L97" s="23"/>
      <c r="M97" s="23"/>
      <c r="N97" s="27"/>
      <c r="O97" s="23"/>
      <c r="P97" s="23"/>
      <c r="Q97" s="27"/>
      <c r="R97" s="27"/>
    </row>
    <row r="98" spans="1:18" x14ac:dyDescent="0.25">
      <c r="A98" s="876"/>
      <c r="B98" s="4"/>
      <c r="C98" s="23"/>
      <c r="D98" s="23"/>
      <c r="E98" s="23"/>
      <c r="F98" s="23"/>
      <c r="G98" s="23"/>
      <c r="H98" s="23"/>
      <c r="I98" s="23"/>
      <c r="J98" s="23"/>
      <c r="K98" s="23"/>
      <c r="L98" s="23"/>
      <c r="M98" s="23"/>
      <c r="N98" s="27"/>
      <c r="O98" s="23"/>
      <c r="P98" s="23"/>
      <c r="Q98" s="27"/>
      <c r="R98" s="27"/>
    </row>
    <row r="99" spans="1:18" x14ac:dyDescent="0.25">
      <c r="A99" s="876"/>
      <c r="B99" s="4"/>
      <c r="C99" s="23"/>
      <c r="D99" s="23"/>
      <c r="E99" s="23"/>
      <c r="F99" s="23"/>
      <c r="G99" s="23"/>
      <c r="H99" s="23"/>
      <c r="I99" s="23"/>
      <c r="J99" s="23"/>
      <c r="K99" s="23"/>
      <c r="L99" s="23"/>
      <c r="M99" s="23"/>
      <c r="N99" s="27"/>
      <c r="O99" s="23"/>
      <c r="P99" s="23"/>
      <c r="Q99" s="27"/>
      <c r="R99" s="27"/>
    </row>
    <row r="100" spans="1:18" x14ac:dyDescent="0.25">
      <c r="A100" s="876"/>
      <c r="B100" s="4"/>
      <c r="C100" s="23"/>
      <c r="D100" s="23"/>
      <c r="E100" s="23"/>
      <c r="F100" s="23"/>
      <c r="G100" s="23"/>
      <c r="H100" s="23"/>
      <c r="I100" s="23"/>
      <c r="J100" s="23"/>
      <c r="K100" s="23"/>
      <c r="L100" s="23"/>
      <c r="M100" s="23"/>
      <c r="N100" s="27"/>
      <c r="O100" s="23"/>
      <c r="P100" s="23"/>
      <c r="Q100" s="27"/>
      <c r="R100" s="27"/>
    </row>
    <row r="101" spans="1:18" x14ac:dyDescent="0.25">
      <c r="A101" s="876"/>
      <c r="B101" s="4"/>
      <c r="C101" s="23"/>
      <c r="D101" s="23"/>
      <c r="E101" s="23"/>
      <c r="F101" s="23"/>
      <c r="G101" s="23"/>
      <c r="H101" s="23"/>
      <c r="I101" s="23"/>
      <c r="J101" s="23"/>
      <c r="K101" s="23"/>
      <c r="L101" s="23"/>
      <c r="M101" s="23"/>
      <c r="N101" s="27"/>
      <c r="O101" s="23"/>
      <c r="P101" s="23"/>
      <c r="Q101" s="27"/>
      <c r="R101" s="27"/>
    </row>
    <row r="102" spans="1:18" x14ac:dyDescent="0.25">
      <c r="A102" s="876"/>
      <c r="B102" s="4"/>
      <c r="C102" s="23"/>
      <c r="D102" s="23"/>
      <c r="E102" s="23"/>
      <c r="F102" s="23"/>
      <c r="G102" s="23"/>
      <c r="H102" s="23"/>
      <c r="I102" s="23"/>
      <c r="J102" s="23"/>
      <c r="K102" s="23"/>
      <c r="L102" s="23"/>
      <c r="M102" s="23"/>
      <c r="N102" s="27"/>
      <c r="O102" s="23"/>
      <c r="P102" s="23"/>
      <c r="Q102" s="27"/>
      <c r="R102" s="27"/>
    </row>
    <row r="103" spans="1:18" x14ac:dyDescent="0.25">
      <c r="A103" s="876"/>
      <c r="B103" s="4"/>
      <c r="C103" s="23"/>
      <c r="D103" s="23"/>
      <c r="E103" s="23"/>
      <c r="F103" s="23"/>
      <c r="G103" s="23"/>
      <c r="H103" s="23"/>
      <c r="I103" s="23"/>
      <c r="J103" s="23"/>
      <c r="K103" s="23"/>
      <c r="L103" s="23"/>
      <c r="M103" s="23"/>
      <c r="N103" s="27"/>
      <c r="O103" s="23"/>
      <c r="P103" s="23"/>
      <c r="Q103" s="27"/>
      <c r="R103" s="27"/>
    </row>
    <row r="104" spans="1:18" x14ac:dyDescent="0.25">
      <c r="A104" s="876"/>
      <c r="B104" s="4"/>
      <c r="C104" s="23"/>
      <c r="D104" s="23"/>
      <c r="E104" s="23"/>
      <c r="F104" s="23"/>
      <c r="G104" s="23"/>
      <c r="H104" s="23"/>
      <c r="I104" s="23"/>
      <c r="J104" s="23"/>
      <c r="K104" s="23"/>
      <c r="L104" s="23"/>
      <c r="M104" s="23"/>
      <c r="N104" s="27"/>
      <c r="O104" s="23"/>
      <c r="P104" s="23"/>
      <c r="Q104" s="27"/>
      <c r="R104" s="27"/>
    </row>
    <row r="105" spans="1:18" x14ac:dyDescent="0.25">
      <c r="A105" s="876"/>
      <c r="B105" s="4"/>
      <c r="C105" s="23"/>
      <c r="D105" s="23"/>
      <c r="E105" s="23"/>
      <c r="F105" s="23"/>
      <c r="G105" s="23"/>
      <c r="H105" s="23"/>
      <c r="I105" s="23"/>
      <c r="J105" s="23"/>
      <c r="K105" s="23"/>
      <c r="L105" s="23"/>
      <c r="M105" s="23"/>
      <c r="N105" s="27"/>
      <c r="O105" s="23"/>
      <c r="P105" s="23"/>
      <c r="Q105" s="27"/>
      <c r="R105" s="27"/>
    </row>
    <row r="106" spans="1:18" x14ac:dyDescent="0.25">
      <c r="A106" s="876"/>
      <c r="B106" s="4"/>
      <c r="C106" s="23"/>
      <c r="D106" s="23"/>
      <c r="E106" s="23"/>
      <c r="F106" s="23"/>
      <c r="G106" s="23"/>
      <c r="H106" s="23"/>
      <c r="I106" s="23"/>
      <c r="J106" s="23"/>
      <c r="K106" s="23"/>
      <c r="L106" s="23"/>
      <c r="M106" s="23"/>
      <c r="N106" s="27"/>
      <c r="O106" s="23"/>
      <c r="P106" s="23"/>
      <c r="Q106" s="27"/>
      <c r="R106" s="27"/>
    </row>
    <row r="107" spans="1:18" x14ac:dyDescent="0.25">
      <c r="A107" s="876"/>
      <c r="B107" s="4"/>
      <c r="C107" s="23"/>
      <c r="D107" s="23"/>
      <c r="E107" s="23"/>
      <c r="F107" s="23"/>
      <c r="G107" s="23"/>
      <c r="H107" s="23"/>
      <c r="I107" s="23"/>
      <c r="J107" s="23"/>
      <c r="K107" s="23"/>
      <c r="L107" s="23"/>
      <c r="M107" s="23"/>
      <c r="N107" s="27"/>
      <c r="O107" s="23"/>
      <c r="P107" s="23"/>
      <c r="Q107" s="27"/>
      <c r="R107" s="27"/>
    </row>
    <row r="108" spans="1:18" x14ac:dyDescent="0.25">
      <c r="A108" s="876"/>
      <c r="B108" s="4"/>
      <c r="C108" s="23"/>
      <c r="D108" s="23"/>
      <c r="E108" s="23"/>
      <c r="F108" s="23"/>
      <c r="G108" s="23"/>
      <c r="H108" s="23"/>
      <c r="I108" s="23"/>
      <c r="J108" s="23"/>
      <c r="K108" s="23"/>
      <c r="L108" s="23"/>
      <c r="M108" s="23"/>
      <c r="N108" s="27"/>
      <c r="O108" s="23"/>
      <c r="P108" s="23"/>
      <c r="Q108" s="27"/>
      <c r="R108" s="27"/>
    </row>
    <row r="109" spans="1:18" x14ac:dyDescent="0.25">
      <c r="A109" s="876"/>
      <c r="B109" s="4"/>
      <c r="C109" s="23"/>
      <c r="D109" s="23"/>
      <c r="E109" s="23"/>
      <c r="F109" s="23"/>
      <c r="G109" s="23"/>
      <c r="H109" s="23"/>
      <c r="I109" s="23"/>
      <c r="J109" s="23"/>
      <c r="K109" s="23"/>
      <c r="L109" s="23"/>
      <c r="M109" s="23"/>
      <c r="N109" s="27"/>
      <c r="O109" s="23"/>
      <c r="P109" s="23"/>
      <c r="Q109" s="27"/>
      <c r="R109" s="27"/>
    </row>
    <row r="110" spans="1:18" x14ac:dyDescent="0.25">
      <c r="A110" s="876"/>
      <c r="B110" s="4"/>
      <c r="C110" s="23"/>
      <c r="D110" s="23"/>
      <c r="E110" s="23"/>
      <c r="F110" s="23"/>
      <c r="G110" s="23"/>
      <c r="H110" s="23"/>
      <c r="I110" s="23"/>
      <c r="J110" s="23"/>
      <c r="K110" s="23"/>
      <c r="L110" s="23"/>
      <c r="M110" s="23"/>
      <c r="N110" s="27"/>
      <c r="O110" s="23"/>
      <c r="P110" s="23"/>
      <c r="Q110" s="27"/>
      <c r="R110" s="27"/>
    </row>
    <row r="111" spans="1:18" x14ac:dyDescent="0.25">
      <c r="A111" s="876"/>
      <c r="B111" s="4"/>
      <c r="C111" s="23"/>
      <c r="D111" s="23"/>
      <c r="E111" s="23"/>
      <c r="F111" s="23"/>
      <c r="G111" s="23"/>
      <c r="H111" s="23"/>
      <c r="I111" s="23"/>
      <c r="J111" s="23"/>
      <c r="K111" s="23"/>
      <c r="L111" s="23"/>
      <c r="M111" s="23"/>
      <c r="N111" s="27"/>
      <c r="O111" s="23"/>
      <c r="P111" s="23"/>
      <c r="Q111" s="27"/>
      <c r="R111" s="27"/>
    </row>
    <row r="112" spans="1:18" x14ac:dyDescent="0.25">
      <c r="A112" s="876"/>
      <c r="B112" s="4"/>
      <c r="C112" s="23"/>
      <c r="D112" s="23"/>
      <c r="E112" s="23"/>
      <c r="F112" s="23"/>
      <c r="G112" s="23"/>
      <c r="H112" s="23"/>
      <c r="I112" s="23"/>
      <c r="J112" s="23"/>
      <c r="K112" s="23"/>
      <c r="L112" s="23"/>
      <c r="M112" s="23"/>
      <c r="N112" s="27"/>
      <c r="O112" s="23"/>
      <c r="P112" s="23"/>
      <c r="Q112" s="27"/>
      <c r="R112" s="27"/>
    </row>
    <row r="113" spans="1:18" x14ac:dyDescent="0.25">
      <c r="A113" s="876"/>
      <c r="B113" s="4"/>
      <c r="C113" s="23"/>
      <c r="D113" s="23"/>
      <c r="E113" s="23"/>
      <c r="F113" s="23"/>
      <c r="G113" s="23"/>
      <c r="H113" s="23"/>
      <c r="I113" s="23"/>
      <c r="J113" s="23"/>
      <c r="K113" s="23"/>
      <c r="L113" s="23"/>
      <c r="M113" s="23"/>
      <c r="N113" s="27"/>
      <c r="O113" s="23"/>
      <c r="P113" s="23"/>
      <c r="Q113" s="27"/>
      <c r="R113" s="27"/>
    </row>
    <row r="114" spans="1:18" x14ac:dyDescent="0.25">
      <c r="A114" s="876"/>
      <c r="B114" s="4"/>
      <c r="C114" s="23"/>
      <c r="D114" s="23"/>
      <c r="E114" s="23"/>
      <c r="F114" s="23"/>
      <c r="G114" s="23"/>
      <c r="H114" s="23"/>
      <c r="I114" s="23"/>
      <c r="J114" s="23"/>
      <c r="K114" s="23"/>
      <c r="L114" s="23"/>
      <c r="M114" s="23"/>
      <c r="N114" s="4"/>
      <c r="O114" s="23"/>
      <c r="P114" s="23"/>
      <c r="Q114" s="4"/>
      <c r="R114" s="4"/>
    </row>
    <row r="115" spans="1:18" x14ac:dyDescent="0.25">
      <c r="A115" s="876"/>
      <c r="B115" s="4"/>
      <c r="C115" s="23"/>
      <c r="D115" s="23"/>
      <c r="E115" s="23"/>
      <c r="F115" s="23"/>
      <c r="G115" s="23"/>
      <c r="H115" s="23"/>
      <c r="I115" s="23"/>
      <c r="J115" s="23"/>
      <c r="K115" s="23"/>
      <c r="L115" s="23"/>
      <c r="M115" s="23"/>
      <c r="N115" s="4"/>
      <c r="O115" s="23"/>
      <c r="P115" s="23"/>
      <c r="Q115" s="4"/>
      <c r="R115" s="4"/>
    </row>
    <row r="116" spans="1:18" x14ac:dyDescent="0.25">
      <c r="A116" s="876"/>
      <c r="B116" s="4"/>
      <c r="C116" s="23"/>
      <c r="D116" s="23"/>
      <c r="E116" s="23"/>
      <c r="F116" s="23"/>
      <c r="G116" s="23"/>
      <c r="H116" s="23"/>
      <c r="I116" s="23"/>
      <c r="J116" s="23"/>
      <c r="K116" s="23"/>
      <c r="L116" s="23"/>
      <c r="M116" s="23"/>
      <c r="N116" s="4"/>
      <c r="O116" s="23"/>
      <c r="P116" s="23"/>
      <c r="Q116" s="4"/>
      <c r="R116" s="4"/>
    </row>
    <row r="117" spans="1:18" x14ac:dyDescent="0.25">
      <c r="A117" s="876"/>
      <c r="B117" s="4"/>
      <c r="C117" s="23"/>
      <c r="D117" s="23"/>
      <c r="E117" s="23"/>
      <c r="F117" s="23"/>
      <c r="G117" s="23"/>
      <c r="H117" s="23"/>
      <c r="I117" s="23"/>
      <c r="J117" s="23"/>
      <c r="K117" s="23"/>
      <c r="L117" s="23"/>
      <c r="M117" s="23"/>
      <c r="N117" s="4"/>
      <c r="O117" s="23"/>
      <c r="P117" s="23"/>
      <c r="Q117" s="4"/>
      <c r="R117" s="4"/>
    </row>
    <row r="118" spans="1:18" x14ac:dyDescent="0.25">
      <c r="A118" s="876"/>
      <c r="B118" s="4"/>
      <c r="C118" s="23"/>
      <c r="D118" s="23"/>
      <c r="E118" s="23"/>
      <c r="F118" s="23"/>
      <c r="G118" s="23"/>
      <c r="H118" s="23"/>
      <c r="I118" s="23"/>
      <c r="J118" s="23"/>
      <c r="K118" s="23"/>
      <c r="L118" s="23"/>
      <c r="M118" s="23"/>
      <c r="N118" s="4"/>
      <c r="O118" s="23"/>
      <c r="P118" s="23"/>
      <c r="Q118" s="4"/>
      <c r="R118" s="4"/>
    </row>
    <row r="119" spans="1:18" x14ac:dyDescent="0.25">
      <c r="A119" s="876"/>
      <c r="B119" s="4"/>
      <c r="C119" s="23"/>
      <c r="D119" s="23"/>
      <c r="E119" s="23"/>
      <c r="F119" s="23"/>
      <c r="G119" s="23"/>
      <c r="H119" s="23"/>
      <c r="I119" s="23"/>
      <c r="J119" s="23"/>
      <c r="K119" s="23"/>
      <c r="L119" s="23"/>
      <c r="M119" s="23"/>
      <c r="N119" s="4"/>
      <c r="O119" s="23"/>
      <c r="P119" s="23"/>
      <c r="Q119" s="4"/>
      <c r="R119" s="4"/>
    </row>
    <row r="120" spans="1:18" x14ac:dyDescent="0.25">
      <c r="A120" s="876"/>
      <c r="B120" s="4"/>
      <c r="C120" s="23"/>
      <c r="D120" s="23"/>
      <c r="E120" s="23"/>
      <c r="F120" s="23"/>
      <c r="G120" s="23"/>
      <c r="H120" s="23"/>
      <c r="I120" s="23"/>
      <c r="J120" s="23"/>
      <c r="K120" s="23"/>
      <c r="L120" s="23"/>
      <c r="M120" s="23"/>
      <c r="N120" s="4"/>
      <c r="O120" s="23"/>
      <c r="P120" s="23"/>
      <c r="Q120" s="4"/>
      <c r="R120" s="4"/>
    </row>
    <row r="121" spans="1:18" x14ac:dyDescent="0.25">
      <c r="A121" s="876"/>
      <c r="B121" s="4"/>
      <c r="C121" s="23"/>
      <c r="D121" s="23"/>
      <c r="E121" s="23"/>
      <c r="F121" s="23"/>
      <c r="G121" s="23"/>
      <c r="H121" s="23"/>
      <c r="I121" s="23"/>
      <c r="J121" s="23"/>
      <c r="K121" s="23"/>
      <c r="L121" s="23"/>
      <c r="M121" s="23"/>
      <c r="N121" s="4"/>
      <c r="O121" s="23"/>
      <c r="P121" s="23"/>
      <c r="Q121" s="4"/>
      <c r="R121" s="4"/>
    </row>
    <row r="122" spans="1:18" x14ac:dyDescent="0.25">
      <c r="A122" s="876"/>
      <c r="B122" s="4"/>
      <c r="C122" s="23"/>
      <c r="D122" s="23"/>
      <c r="E122" s="23"/>
      <c r="F122" s="23"/>
      <c r="G122" s="23"/>
      <c r="H122" s="23"/>
      <c r="I122" s="23"/>
      <c r="J122" s="23"/>
      <c r="K122" s="23"/>
      <c r="L122" s="23"/>
      <c r="M122" s="23"/>
      <c r="N122" s="4"/>
      <c r="O122" s="23"/>
      <c r="P122" s="23"/>
      <c r="Q122" s="4"/>
      <c r="R122" s="4"/>
    </row>
    <row r="123" spans="1:18" x14ac:dyDescent="0.25">
      <c r="A123" s="876"/>
      <c r="B123" s="4"/>
      <c r="C123" s="23"/>
      <c r="D123" s="23"/>
      <c r="E123" s="23"/>
      <c r="F123" s="23"/>
      <c r="G123" s="23"/>
      <c r="H123" s="23"/>
      <c r="I123" s="23"/>
      <c r="J123" s="23"/>
      <c r="K123" s="23"/>
      <c r="L123" s="23"/>
      <c r="M123" s="23"/>
      <c r="N123" s="4"/>
      <c r="O123" s="23"/>
      <c r="P123" s="23"/>
      <c r="Q123" s="4"/>
      <c r="R123" s="4"/>
    </row>
    <row r="124" spans="1:18" x14ac:dyDescent="0.25">
      <c r="A124" s="876"/>
      <c r="B124" s="4"/>
      <c r="C124" s="23"/>
      <c r="D124" s="23"/>
      <c r="E124" s="23"/>
      <c r="F124" s="23"/>
      <c r="G124" s="23"/>
      <c r="H124" s="23"/>
      <c r="I124" s="23"/>
      <c r="J124" s="23"/>
      <c r="K124" s="23"/>
      <c r="L124" s="23"/>
      <c r="M124" s="23"/>
      <c r="N124" s="4"/>
      <c r="O124" s="23"/>
      <c r="P124" s="23"/>
      <c r="Q124" s="4"/>
      <c r="R124" s="4"/>
    </row>
    <row r="125" spans="1:18" x14ac:dyDescent="0.25">
      <c r="A125" s="876"/>
      <c r="B125" s="4"/>
      <c r="C125" s="23"/>
      <c r="D125" s="23"/>
      <c r="E125" s="23"/>
      <c r="F125" s="23"/>
      <c r="G125" s="23"/>
      <c r="H125" s="23"/>
      <c r="I125" s="23"/>
      <c r="J125" s="23"/>
      <c r="K125" s="23"/>
      <c r="L125" s="23"/>
      <c r="M125" s="23"/>
      <c r="N125" s="4"/>
      <c r="O125" s="23"/>
      <c r="P125" s="23"/>
      <c r="Q125" s="4"/>
      <c r="R125" s="4"/>
    </row>
    <row r="126" spans="1:18" x14ac:dyDescent="0.25">
      <c r="A126" s="876"/>
      <c r="B126" s="4"/>
      <c r="C126" s="23"/>
      <c r="D126" s="23"/>
      <c r="E126" s="23"/>
      <c r="F126" s="23"/>
      <c r="G126" s="23"/>
      <c r="H126" s="23"/>
      <c r="I126" s="23"/>
      <c r="J126" s="23"/>
      <c r="K126" s="23"/>
      <c r="L126" s="23"/>
      <c r="M126" s="23"/>
      <c r="N126" s="4"/>
      <c r="O126" s="23"/>
      <c r="P126" s="23"/>
      <c r="Q126" s="4"/>
      <c r="R126" s="4"/>
    </row>
    <row r="127" spans="1:18" x14ac:dyDescent="0.25">
      <c r="A127" s="876"/>
      <c r="B127" s="4"/>
      <c r="C127" s="23"/>
      <c r="D127" s="23"/>
      <c r="E127" s="23"/>
      <c r="F127" s="23"/>
      <c r="G127" s="23"/>
      <c r="H127" s="23"/>
      <c r="I127" s="23"/>
      <c r="J127" s="23"/>
      <c r="K127" s="23"/>
      <c r="L127" s="23"/>
      <c r="M127" s="23"/>
      <c r="N127" s="4"/>
      <c r="O127" s="23"/>
      <c r="P127" s="23"/>
      <c r="Q127" s="4"/>
      <c r="R127" s="4"/>
    </row>
    <row r="128" spans="1:18" x14ac:dyDescent="0.25">
      <c r="A128" s="876"/>
      <c r="B128" s="4"/>
      <c r="C128" s="23"/>
      <c r="D128" s="23"/>
      <c r="E128" s="23"/>
      <c r="F128" s="23"/>
      <c r="G128" s="23"/>
      <c r="H128" s="23"/>
      <c r="I128" s="23"/>
      <c r="J128" s="23"/>
      <c r="K128" s="23"/>
      <c r="L128" s="23"/>
      <c r="M128" s="23"/>
      <c r="N128" s="4"/>
      <c r="O128" s="23"/>
      <c r="P128" s="23"/>
      <c r="Q128" s="4"/>
      <c r="R128" s="4"/>
    </row>
    <row r="129" spans="1:18" x14ac:dyDescent="0.25">
      <c r="A129" s="876"/>
      <c r="B129" s="4"/>
      <c r="C129" s="23"/>
      <c r="D129" s="23"/>
      <c r="E129" s="23"/>
      <c r="F129" s="23"/>
      <c r="G129" s="23"/>
      <c r="H129" s="23"/>
      <c r="I129" s="23"/>
      <c r="J129" s="23"/>
      <c r="K129" s="23"/>
      <c r="L129" s="23"/>
      <c r="M129" s="23"/>
      <c r="N129" s="4"/>
      <c r="O129" s="23"/>
      <c r="P129" s="23"/>
      <c r="Q129" s="4"/>
      <c r="R129" s="4"/>
    </row>
    <row r="130" spans="1:18" x14ac:dyDescent="0.25">
      <c r="A130" s="876"/>
      <c r="B130" s="4"/>
      <c r="C130" s="23"/>
      <c r="D130" s="23"/>
      <c r="E130" s="23"/>
      <c r="F130" s="23"/>
      <c r="G130" s="23"/>
      <c r="H130" s="23"/>
      <c r="I130" s="23"/>
      <c r="J130" s="23"/>
      <c r="K130" s="23"/>
      <c r="L130" s="23"/>
      <c r="M130" s="23"/>
      <c r="N130" s="4"/>
      <c r="O130" s="23"/>
      <c r="P130" s="23"/>
      <c r="Q130" s="4"/>
      <c r="R130" s="4"/>
    </row>
    <row r="131" spans="1:18" x14ac:dyDescent="0.25">
      <c r="A131" s="876"/>
      <c r="B131" s="4"/>
      <c r="C131" s="23"/>
      <c r="D131" s="23"/>
      <c r="E131" s="23"/>
      <c r="F131" s="23"/>
      <c r="G131" s="23"/>
      <c r="H131" s="23"/>
      <c r="I131" s="23"/>
      <c r="J131" s="23"/>
      <c r="K131" s="23"/>
      <c r="L131" s="23"/>
      <c r="M131" s="23"/>
      <c r="N131" s="4"/>
      <c r="O131" s="23"/>
      <c r="P131" s="23"/>
      <c r="Q131" s="4"/>
      <c r="R131" s="4"/>
    </row>
    <row r="132" spans="1:18" x14ac:dyDescent="0.25">
      <c r="A132" s="876"/>
      <c r="B132" s="4"/>
      <c r="C132" s="23"/>
      <c r="D132" s="23"/>
      <c r="E132" s="23"/>
      <c r="F132" s="23"/>
      <c r="G132" s="23"/>
      <c r="H132" s="23"/>
      <c r="I132" s="23"/>
      <c r="J132" s="23"/>
      <c r="K132" s="23"/>
      <c r="L132" s="23"/>
      <c r="M132" s="23"/>
      <c r="N132" s="4"/>
      <c r="O132" s="23"/>
      <c r="P132" s="23"/>
      <c r="Q132" s="4"/>
      <c r="R132" s="4"/>
    </row>
    <row r="133" spans="1:18" x14ac:dyDescent="0.25">
      <c r="A133" s="876"/>
      <c r="B133" s="4"/>
      <c r="C133" s="23"/>
      <c r="D133" s="23"/>
      <c r="E133" s="23"/>
      <c r="F133" s="23"/>
      <c r="G133" s="23"/>
      <c r="H133" s="23"/>
      <c r="I133" s="23"/>
      <c r="J133" s="23"/>
      <c r="K133" s="23"/>
      <c r="L133" s="23"/>
      <c r="M133" s="23"/>
      <c r="N133" s="4"/>
      <c r="O133" s="23"/>
      <c r="P133" s="23"/>
      <c r="Q133" s="4"/>
      <c r="R133" s="4"/>
    </row>
    <row r="134" spans="1:18" x14ac:dyDescent="0.25">
      <c r="A134" s="876"/>
      <c r="B134" s="4"/>
      <c r="C134" s="23"/>
      <c r="D134" s="23"/>
      <c r="E134" s="23"/>
      <c r="F134" s="23"/>
      <c r="G134" s="23"/>
      <c r="H134" s="23"/>
      <c r="I134" s="23"/>
      <c r="J134" s="23"/>
      <c r="K134" s="23"/>
      <c r="L134" s="23"/>
      <c r="M134" s="23"/>
      <c r="N134" s="4"/>
      <c r="O134" s="23"/>
      <c r="P134" s="23"/>
      <c r="Q134" s="4"/>
      <c r="R134" s="4"/>
    </row>
    <row r="135" spans="1:18" x14ac:dyDescent="0.25">
      <c r="A135" s="876"/>
      <c r="B135" s="4"/>
      <c r="C135" s="23"/>
      <c r="D135" s="23"/>
      <c r="E135" s="23"/>
      <c r="F135" s="23"/>
      <c r="G135" s="23"/>
      <c r="H135" s="23"/>
      <c r="I135" s="23"/>
      <c r="J135" s="23"/>
      <c r="K135" s="23"/>
      <c r="L135" s="23"/>
      <c r="M135" s="23"/>
      <c r="N135" s="4"/>
      <c r="O135" s="23"/>
      <c r="P135" s="23"/>
      <c r="Q135" s="4"/>
      <c r="R135" s="4"/>
    </row>
    <row r="136" spans="1:18" x14ac:dyDescent="0.25">
      <c r="A136" s="876"/>
      <c r="B136" s="4"/>
      <c r="C136" s="23"/>
      <c r="D136" s="23"/>
      <c r="E136" s="23"/>
      <c r="F136" s="23"/>
      <c r="G136" s="23"/>
      <c r="H136" s="23"/>
      <c r="I136" s="23"/>
      <c r="J136" s="23"/>
      <c r="K136" s="23"/>
      <c r="L136" s="23"/>
      <c r="M136" s="23"/>
      <c r="N136" s="4"/>
      <c r="O136" s="23"/>
      <c r="P136" s="23"/>
      <c r="Q136" s="4"/>
      <c r="R136" s="4"/>
    </row>
    <row r="137" spans="1:18" x14ac:dyDescent="0.25">
      <c r="A137" s="876"/>
      <c r="B137" s="4"/>
      <c r="C137" s="23"/>
      <c r="D137" s="23"/>
      <c r="E137" s="23"/>
      <c r="F137" s="23"/>
      <c r="G137" s="23"/>
      <c r="H137" s="23"/>
      <c r="I137" s="23"/>
      <c r="J137" s="23"/>
      <c r="K137" s="23"/>
      <c r="L137" s="23"/>
      <c r="M137" s="23"/>
      <c r="N137" s="4"/>
      <c r="O137" s="23"/>
      <c r="P137" s="23"/>
      <c r="Q137" s="4"/>
      <c r="R137" s="4"/>
    </row>
    <row r="138" spans="1:18" x14ac:dyDescent="0.25">
      <c r="A138" s="876"/>
      <c r="B138" s="4"/>
      <c r="C138" s="23"/>
      <c r="D138" s="23"/>
      <c r="E138" s="23"/>
      <c r="F138" s="23"/>
      <c r="G138" s="23"/>
      <c r="H138" s="23"/>
      <c r="I138" s="23"/>
      <c r="J138" s="23"/>
      <c r="K138" s="23"/>
      <c r="L138" s="23"/>
      <c r="M138" s="23"/>
      <c r="N138" s="4"/>
      <c r="O138" s="23"/>
      <c r="P138" s="23"/>
      <c r="Q138" s="4"/>
      <c r="R138" s="4"/>
    </row>
    <row r="139" spans="1:18" x14ac:dyDescent="0.25">
      <c r="A139" s="876"/>
      <c r="B139" s="4"/>
      <c r="C139" s="23"/>
      <c r="D139" s="23"/>
      <c r="E139" s="23"/>
      <c r="F139" s="23"/>
      <c r="G139" s="23"/>
      <c r="H139" s="23"/>
      <c r="I139" s="23"/>
      <c r="J139" s="23"/>
      <c r="K139" s="23"/>
      <c r="L139" s="23"/>
      <c r="M139" s="23"/>
      <c r="N139" s="4"/>
      <c r="O139" s="23"/>
      <c r="P139" s="23"/>
      <c r="Q139" s="4"/>
      <c r="R139" s="4"/>
    </row>
    <row r="140" spans="1:18" x14ac:dyDescent="0.25">
      <c r="A140" s="876"/>
      <c r="B140" s="4"/>
      <c r="C140" s="23"/>
      <c r="D140" s="23"/>
      <c r="E140" s="23"/>
      <c r="F140" s="23"/>
      <c r="G140" s="23"/>
      <c r="H140" s="23"/>
      <c r="I140" s="23"/>
      <c r="J140" s="23"/>
      <c r="K140" s="23"/>
      <c r="L140" s="23"/>
      <c r="M140" s="23"/>
      <c r="N140" s="4"/>
      <c r="O140" s="23"/>
      <c r="P140" s="23"/>
      <c r="Q140" s="4"/>
      <c r="R140" s="4"/>
    </row>
    <row r="141" spans="1:18" x14ac:dyDescent="0.25">
      <c r="A141" s="876"/>
      <c r="B141" s="4"/>
      <c r="C141" s="23"/>
      <c r="D141" s="23"/>
      <c r="E141" s="23"/>
      <c r="F141" s="23"/>
      <c r="G141" s="23"/>
      <c r="H141" s="23"/>
      <c r="I141" s="23"/>
      <c r="J141" s="23"/>
      <c r="K141" s="23"/>
      <c r="L141" s="23"/>
      <c r="M141" s="23"/>
      <c r="N141" s="4"/>
      <c r="O141" s="23"/>
      <c r="P141" s="23"/>
      <c r="Q141" s="4"/>
      <c r="R141" s="4"/>
    </row>
    <row r="142" spans="1:18" x14ac:dyDescent="0.25">
      <c r="A142" s="876"/>
      <c r="B142" s="4"/>
      <c r="C142" s="23"/>
      <c r="D142" s="23"/>
      <c r="E142" s="23"/>
      <c r="F142" s="23"/>
      <c r="G142" s="23"/>
      <c r="H142" s="23"/>
      <c r="I142" s="23"/>
      <c r="J142" s="23"/>
      <c r="K142" s="23"/>
      <c r="L142" s="23"/>
      <c r="M142" s="23"/>
      <c r="N142" s="4"/>
      <c r="O142" s="23"/>
      <c r="P142" s="23"/>
      <c r="Q142" s="4"/>
      <c r="R142" s="4"/>
    </row>
    <row r="143" spans="1:18" x14ac:dyDescent="0.25">
      <c r="A143" s="876"/>
      <c r="B143" s="4"/>
      <c r="C143" s="23"/>
      <c r="D143" s="23"/>
      <c r="E143" s="23"/>
      <c r="F143" s="23"/>
      <c r="G143" s="23"/>
      <c r="H143" s="23"/>
      <c r="I143" s="23"/>
      <c r="J143" s="23"/>
      <c r="K143" s="23"/>
      <c r="L143" s="23"/>
      <c r="M143" s="23"/>
      <c r="N143" s="4"/>
      <c r="O143" s="23"/>
      <c r="P143" s="23"/>
      <c r="Q143" s="4"/>
      <c r="R143" s="4"/>
    </row>
    <row r="144" spans="1:18" x14ac:dyDescent="0.25">
      <c r="A144" s="876"/>
      <c r="B144" s="4"/>
      <c r="C144" s="23"/>
      <c r="D144" s="23"/>
      <c r="E144" s="23"/>
      <c r="F144" s="23"/>
      <c r="G144" s="23"/>
      <c r="H144" s="23"/>
      <c r="I144" s="23"/>
      <c r="J144" s="23"/>
      <c r="K144" s="23"/>
      <c r="L144" s="23"/>
      <c r="M144" s="23"/>
      <c r="N144" s="4"/>
      <c r="O144" s="23"/>
      <c r="P144" s="23"/>
      <c r="Q144" s="4"/>
      <c r="R144" s="4"/>
    </row>
    <row r="145" spans="1:18" x14ac:dyDescent="0.25">
      <c r="A145" s="876"/>
      <c r="B145" s="4"/>
      <c r="C145" s="23"/>
      <c r="D145" s="23"/>
      <c r="E145" s="23"/>
      <c r="F145" s="23"/>
      <c r="G145" s="23"/>
      <c r="H145" s="23"/>
      <c r="I145" s="23"/>
      <c r="J145" s="23"/>
      <c r="K145" s="23"/>
      <c r="L145" s="23"/>
      <c r="M145" s="23"/>
      <c r="N145" s="4"/>
      <c r="O145" s="23"/>
      <c r="P145" s="23"/>
      <c r="Q145" s="4"/>
      <c r="R145" s="4"/>
    </row>
    <row r="146" spans="1:18" x14ac:dyDescent="0.25">
      <c r="A146" s="876"/>
      <c r="B146" s="4"/>
      <c r="C146" s="23"/>
      <c r="D146" s="23"/>
      <c r="E146" s="23"/>
      <c r="F146" s="23"/>
      <c r="G146" s="23"/>
      <c r="H146" s="23"/>
      <c r="I146" s="23"/>
      <c r="J146" s="23"/>
      <c r="K146" s="23"/>
      <c r="L146" s="23"/>
      <c r="M146" s="23"/>
      <c r="N146" s="4"/>
      <c r="O146" s="23"/>
      <c r="P146" s="23"/>
      <c r="Q146" s="4"/>
      <c r="R146" s="4"/>
    </row>
    <row r="147" spans="1:18" x14ac:dyDescent="0.25">
      <c r="A147" s="876"/>
      <c r="B147" s="4"/>
      <c r="C147" s="23"/>
      <c r="D147" s="23"/>
      <c r="E147" s="23"/>
      <c r="F147" s="23"/>
      <c r="G147" s="23"/>
      <c r="H147" s="23"/>
      <c r="I147" s="23"/>
      <c r="J147" s="23"/>
      <c r="K147" s="23"/>
      <c r="L147" s="23"/>
      <c r="M147" s="23"/>
      <c r="N147" s="4"/>
      <c r="O147" s="23"/>
      <c r="P147" s="23"/>
      <c r="Q147" s="4"/>
      <c r="R147" s="4"/>
    </row>
    <row r="148" spans="1:18" x14ac:dyDescent="0.25">
      <c r="A148" s="876"/>
      <c r="B148" s="4"/>
      <c r="C148" s="23"/>
      <c r="D148" s="23"/>
      <c r="E148" s="23"/>
      <c r="F148" s="23"/>
      <c r="G148" s="23"/>
      <c r="H148" s="23"/>
      <c r="I148" s="23"/>
      <c r="J148" s="23"/>
      <c r="K148" s="23"/>
      <c r="L148" s="23"/>
      <c r="M148" s="23"/>
      <c r="N148" s="4"/>
      <c r="O148" s="23"/>
      <c r="P148" s="23"/>
      <c r="Q148" s="4"/>
      <c r="R148" s="4"/>
    </row>
    <row r="149" spans="1:18" x14ac:dyDescent="0.25">
      <c r="A149" s="876"/>
      <c r="B149" s="4"/>
      <c r="C149" s="23"/>
      <c r="D149" s="23"/>
      <c r="E149" s="23"/>
      <c r="F149" s="23"/>
      <c r="G149" s="23"/>
      <c r="H149" s="23"/>
      <c r="I149" s="23"/>
      <c r="J149" s="23"/>
      <c r="K149" s="23"/>
      <c r="L149" s="23"/>
      <c r="M149" s="23"/>
      <c r="N149" s="4"/>
      <c r="O149" s="23"/>
      <c r="P149" s="23"/>
      <c r="Q149" s="4"/>
      <c r="R149" s="4"/>
    </row>
    <row r="150" spans="1:18" x14ac:dyDescent="0.25">
      <c r="A150" s="876"/>
      <c r="B150" s="4"/>
      <c r="C150" s="23"/>
      <c r="D150" s="23"/>
      <c r="E150" s="23"/>
      <c r="F150" s="23"/>
      <c r="G150" s="23"/>
      <c r="H150" s="23"/>
      <c r="I150" s="23"/>
      <c r="J150" s="23"/>
      <c r="K150" s="23"/>
      <c r="L150" s="23"/>
      <c r="M150" s="23"/>
      <c r="N150" s="4"/>
      <c r="O150" s="23"/>
      <c r="P150" s="23"/>
      <c r="Q150" s="4"/>
      <c r="R150" s="4"/>
    </row>
    <row r="151" spans="1:18" x14ac:dyDescent="0.25">
      <c r="A151" s="876"/>
      <c r="B151" s="4"/>
      <c r="C151" s="23"/>
      <c r="D151" s="23"/>
      <c r="E151" s="23"/>
      <c r="F151" s="23"/>
      <c r="G151" s="23"/>
      <c r="H151" s="23"/>
      <c r="I151" s="23"/>
      <c r="J151" s="23"/>
      <c r="K151" s="23"/>
      <c r="L151" s="23"/>
      <c r="M151" s="23"/>
      <c r="N151" s="4"/>
      <c r="O151" s="23"/>
      <c r="P151" s="23"/>
      <c r="Q151" s="4"/>
      <c r="R151" s="4"/>
    </row>
    <row r="152" spans="1:18" x14ac:dyDescent="0.25">
      <c r="A152" s="876"/>
      <c r="B152" s="4"/>
      <c r="C152" s="23"/>
      <c r="D152" s="23"/>
      <c r="E152" s="23"/>
      <c r="F152" s="23"/>
      <c r="G152" s="23"/>
      <c r="H152" s="23"/>
      <c r="I152" s="23"/>
      <c r="J152" s="23"/>
      <c r="K152" s="23"/>
      <c r="L152" s="23"/>
      <c r="M152" s="23"/>
      <c r="N152" s="4"/>
      <c r="O152" s="23"/>
      <c r="P152" s="23"/>
      <c r="Q152" s="4"/>
      <c r="R152" s="4"/>
    </row>
    <row r="153" spans="1:18" x14ac:dyDescent="0.25">
      <c r="A153" s="876"/>
      <c r="B153" s="4"/>
      <c r="C153" s="23"/>
      <c r="D153" s="23"/>
      <c r="E153" s="23"/>
      <c r="F153" s="23"/>
      <c r="G153" s="23"/>
      <c r="H153" s="23"/>
      <c r="I153" s="23"/>
      <c r="J153" s="23"/>
      <c r="K153" s="23"/>
      <c r="L153" s="23"/>
      <c r="M153" s="23"/>
      <c r="N153" s="4"/>
      <c r="O153" s="23"/>
      <c r="P153" s="23"/>
      <c r="Q153" s="4"/>
      <c r="R153" s="4"/>
    </row>
    <row r="154" spans="1:18" x14ac:dyDescent="0.25">
      <c r="A154" s="876"/>
      <c r="B154" s="4"/>
      <c r="C154" s="23"/>
      <c r="D154" s="23"/>
      <c r="E154" s="23"/>
      <c r="F154" s="23"/>
      <c r="G154" s="23"/>
      <c r="H154" s="23"/>
      <c r="I154" s="23"/>
      <c r="J154" s="23"/>
      <c r="K154" s="23"/>
      <c r="L154" s="23"/>
      <c r="M154" s="23"/>
      <c r="N154" s="4"/>
      <c r="O154" s="23"/>
      <c r="P154" s="23"/>
      <c r="Q154" s="4"/>
      <c r="R154" s="4"/>
    </row>
    <row r="155" spans="1:18" x14ac:dyDescent="0.25">
      <c r="A155" s="876"/>
      <c r="B155" s="4"/>
      <c r="C155" s="23"/>
      <c r="D155" s="23"/>
      <c r="E155" s="23"/>
      <c r="F155" s="23"/>
      <c r="G155" s="23"/>
      <c r="H155" s="23"/>
      <c r="I155" s="23"/>
      <c r="J155" s="23"/>
      <c r="K155" s="23"/>
      <c r="L155" s="23"/>
      <c r="M155" s="23"/>
      <c r="N155" s="4"/>
      <c r="O155" s="23"/>
      <c r="P155" s="23"/>
      <c r="Q155" s="4"/>
      <c r="R155" s="4"/>
    </row>
    <row r="156" spans="1:18" x14ac:dyDescent="0.25">
      <c r="A156" s="876"/>
      <c r="B156" s="4"/>
      <c r="C156" s="23"/>
      <c r="D156" s="23"/>
      <c r="E156" s="23"/>
      <c r="F156" s="23"/>
      <c r="G156" s="23"/>
      <c r="H156" s="23"/>
      <c r="I156" s="23"/>
      <c r="J156" s="23"/>
      <c r="K156" s="23"/>
      <c r="L156" s="23"/>
      <c r="M156" s="23"/>
      <c r="N156" s="4"/>
      <c r="O156" s="23"/>
      <c r="P156" s="23"/>
      <c r="Q156" s="4"/>
      <c r="R156" s="4"/>
    </row>
    <row r="157" spans="1:18" x14ac:dyDescent="0.25">
      <c r="A157" s="876"/>
      <c r="B157" s="4"/>
      <c r="C157" s="23"/>
      <c r="D157" s="23"/>
      <c r="E157" s="23"/>
      <c r="F157" s="23"/>
      <c r="G157" s="23"/>
      <c r="H157" s="23"/>
      <c r="I157" s="23"/>
      <c r="J157" s="23"/>
      <c r="K157" s="23"/>
      <c r="L157" s="23"/>
      <c r="M157" s="23"/>
      <c r="N157" s="4"/>
      <c r="O157" s="23"/>
      <c r="P157" s="23"/>
      <c r="Q157" s="4"/>
      <c r="R157" s="4"/>
    </row>
    <row r="158" spans="1:18" x14ac:dyDescent="0.25">
      <c r="A158" s="876"/>
      <c r="B158" s="4"/>
      <c r="C158" s="23"/>
      <c r="D158" s="23"/>
      <c r="E158" s="23"/>
      <c r="F158" s="23"/>
      <c r="G158" s="23"/>
      <c r="H158" s="23"/>
      <c r="I158" s="23"/>
      <c r="J158" s="23"/>
      <c r="K158" s="23"/>
      <c r="L158" s="23"/>
      <c r="M158" s="23"/>
      <c r="N158" s="4"/>
      <c r="O158" s="23"/>
      <c r="P158" s="23"/>
      <c r="Q158" s="4"/>
      <c r="R158" s="4"/>
    </row>
    <row r="159" spans="1:18" x14ac:dyDescent="0.25">
      <c r="A159" s="876"/>
      <c r="B159" s="4"/>
      <c r="C159" s="23"/>
      <c r="D159" s="23"/>
      <c r="E159" s="23"/>
      <c r="F159" s="23"/>
      <c r="G159" s="23"/>
      <c r="H159" s="23"/>
      <c r="I159" s="23"/>
      <c r="J159" s="23"/>
      <c r="K159" s="23"/>
      <c r="L159" s="23"/>
      <c r="M159" s="23"/>
      <c r="N159" s="4"/>
      <c r="O159" s="23"/>
      <c r="P159" s="23"/>
      <c r="Q159" s="4"/>
      <c r="R159" s="4"/>
    </row>
    <row r="160" spans="1:18" x14ac:dyDescent="0.25">
      <c r="A160" s="876"/>
      <c r="B160" s="4"/>
      <c r="C160" s="23"/>
      <c r="D160" s="23"/>
      <c r="E160" s="23"/>
      <c r="F160" s="23"/>
      <c r="G160" s="23"/>
      <c r="H160" s="23"/>
      <c r="I160" s="23"/>
      <c r="J160" s="23"/>
      <c r="K160" s="23"/>
      <c r="L160" s="23"/>
      <c r="M160" s="23"/>
      <c r="N160" s="4"/>
      <c r="O160" s="23"/>
      <c r="P160" s="23"/>
      <c r="Q160" s="4"/>
      <c r="R160" s="4"/>
    </row>
    <row r="161" spans="1:18" x14ac:dyDescent="0.25">
      <c r="A161" s="876"/>
      <c r="B161" s="4"/>
      <c r="C161" s="23"/>
      <c r="D161" s="23"/>
      <c r="E161" s="23"/>
      <c r="F161" s="23"/>
      <c r="G161" s="23"/>
      <c r="H161" s="23"/>
      <c r="I161" s="23"/>
      <c r="J161" s="23"/>
      <c r="K161" s="23"/>
      <c r="L161" s="23"/>
      <c r="M161" s="23"/>
      <c r="N161" s="4"/>
      <c r="O161" s="23"/>
      <c r="P161" s="23"/>
      <c r="Q161" s="4"/>
      <c r="R161" s="4"/>
    </row>
    <row r="162" spans="1:18" x14ac:dyDescent="0.25">
      <c r="A162" s="876"/>
      <c r="B162" s="4"/>
      <c r="C162" s="23"/>
      <c r="D162" s="23"/>
      <c r="E162" s="23"/>
      <c r="F162" s="23"/>
      <c r="G162" s="23"/>
      <c r="H162" s="23"/>
      <c r="I162" s="23"/>
      <c r="J162" s="23"/>
      <c r="K162" s="23"/>
      <c r="L162" s="23"/>
      <c r="M162" s="23"/>
      <c r="N162" s="4"/>
      <c r="O162" s="23"/>
      <c r="P162" s="23"/>
      <c r="Q162" s="4"/>
      <c r="R162" s="4"/>
    </row>
    <row r="163" spans="1:18" x14ac:dyDescent="0.25">
      <c r="A163" s="876"/>
      <c r="B163" s="4"/>
      <c r="C163" s="23"/>
      <c r="D163" s="23"/>
      <c r="E163" s="23"/>
      <c r="F163" s="23"/>
      <c r="G163" s="23"/>
      <c r="H163" s="23"/>
      <c r="I163" s="23"/>
      <c r="J163" s="23"/>
      <c r="K163" s="23"/>
      <c r="L163" s="23"/>
      <c r="M163" s="23"/>
      <c r="N163" s="4"/>
      <c r="O163" s="23"/>
      <c r="P163" s="23"/>
      <c r="Q163" s="4"/>
      <c r="R163" s="4"/>
    </row>
    <row r="164" spans="1:18" x14ac:dyDescent="0.25">
      <c r="A164" s="876"/>
      <c r="B164" s="4"/>
      <c r="C164" s="23"/>
      <c r="D164" s="23"/>
      <c r="E164" s="23"/>
      <c r="F164" s="23"/>
      <c r="G164" s="23"/>
      <c r="H164" s="23"/>
      <c r="I164" s="23"/>
      <c r="J164" s="23"/>
      <c r="K164" s="23"/>
      <c r="L164" s="23"/>
      <c r="M164" s="23"/>
      <c r="N164" s="4"/>
      <c r="O164" s="23"/>
      <c r="P164" s="23"/>
      <c r="Q164" s="4"/>
      <c r="R164" s="4"/>
    </row>
    <row r="165" spans="1:18" x14ac:dyDescent="0.25">
      <c r="A165" s="876"/>
      <c r="B165" s="4"/>
      <c r="C165" s="23"/>
      <c r="D165" s="23"/>
      <c r="E165" s="23"/>
      <c r="F165" s="23"/>
      <c r="G165" s="23"/>
      <c r="H165" s="23"/>
      <c r="I165" s="23"/>
      <c r="J165" s="23"/>
      <c r="K165" s="23"/>
      <c r="L165" s="23"/>
      <c r="M165" s="23"/>
      <c r="N165" s="4"/>
      <c r="O165" s="23"/>
      <c r="P165" s="23"/>
      <c r="Q165" s="4"/>
      <c r="R165" s="4"/>
    </row>
    <row r="166" spans="1:18" x14ac:dyDescent="0.25">
      <c r="A166" s="876"/>
      <c r="B166" s="4"/>
      <c r="C166" s="23"/>
      <c r="D166" s="23"/>
      <c r="E166" s="23"/>
      <c r="F166" s="23"/>
      <c r="G166" s="23"/>
      <c r="H166" s="23"/>
      <c r="I166" s="23"/>
      <c r="J166" s="23"/>
      <c r="K166" s="23"/>
      <c r="L166" s="23"/>
      <c r="M166" s="23"/>
      <c r="N166" s="4"/>
      <c r="O166" s="23"/>
      <c r="P166" s="23"/>
      <c r="Q166" s="4"/>
      <c r="R166" s="4"/>
    </row>
    <row r="167" spans="1:18" x14ac:dyDescent="0.25">
      <c r="A167" s="876"/>
      <c r="B167" s="4"/>
      <c r="C167" s="23"/>
      <c r="D167" s="23"/>
      <c r="E167" s="23"/>
      <c r="F167" s="23"/>
      <c r="G167" s="23"/>
      <c r="H167" s="23"/>
      <c r="I167" s="23"/>
      <c r="J167" s="23"/>
      <c r="K167" s="23"/>
      <c r="L167" s="23"/>
      <c r="M167" s="23"/>
      <c r="N167" s="4"/>
      <c r="O167" s="23"/>
      <c r="P167" s="23"/>
      <c r="Q167" s="4"/>
      <c r="R167" s="4"/>
    </row>
    <row r="168" spans="1:18" x14ac:dyDescent="0.25">
      <c r="A168" s="876"/>
      <c r="B168" s="4"/>
      <c r="C168" s="23"/>
      <c r="D168" s="23"/>
      <c r="E168" s="23"/>
      <c r="F168" s="23"/>
      <c r="G168" s="23"/>
      <c r="H168" s="23"/>
      <c r="I168" s="23"/>
      <c r="J168" s="23"/>
      <c r="K168" s="23"/>
      <c r="L168" s="23"/>
      <c r="M168" s="23"/>
      <c r="N168" s="4"/>
      <c r="O168" s="23"/>
      <c r="P168" s="23"/>
      <c r="Q168" s="4"/>
      <c r="R168" s="4"/>
    </row>
    <row r="169" spans="1:18" x14ac:dyDescent="0.25">
      <c r="A169" s="876"/>
      <c r="B169" s="4"/>
      <c r="C169" s="23"/>
      <c r="D169" s="23"/>
      <c r="E169" s="23"/>
      <c r="F169" s="23"/>
      <c r="G169" s="23"/>
      <c r="H169" s="23"/>
      <c r="I169" s="23"/>
      <c r="J169" s="23"/>
      <c r="K169" s="23"/>
      <c r="L169" s="23"/>
      <c r="M169" s="23"/>
      <c r="N169" s="4"/>
      <c r="O169" s="23"/>
      <c r="P169" s="23"/>
      <c r="Q169" s="4"/>
      <c r="R169" s="4"/>
    </row>
    <row r="170" spans="1:18" x14ac:dyDescent="0.25">
      <c r="A170" s="876"/>
      <c r="B170" s="4"/>
      <c r="C170" s="23"/>
      <c r="D170" s="23"/>
      <c r="E170" s="23"/>
      <c r="F170" s="23"/>
      <c r="G170" s="23"/>
      <c r="H170" s="23"/>
      <c r="I170" s="23"/>
      <c r="J170" s="23"/>
      <c r="K170" s="23"/>
      <c r="L170" s="23"/>
      <c r="M170" s="23"/>
      <c r="N170" s="4"/>
      <c r="O170" s="23"/>
      <c r="P170" s="23"/>
      <c r="Q170" s="4"/>
      <c r="R170" s="4"/>
    </row>
    <row r="171" spans="1:18" x14ac:dyDescent="0.25">
      <c r="A171" s="876"/>
      <c r="B171" s="4"/>
      <c r="C171" s="23"/>
      <c r="D171" s="23"/>
      <c r="E171" s="23"/>
      <c r="F171" s="23"/>
      <c r="G171" s="23"/>
      <c r="H171" s="23"/>
      <c r="I171" s="23"/>
      <c r="J171" s="23"/>
      <c r="K171" s="23"/>
      <c r="L171" s="23"/>
      <c r="M171" s="23"/>
      <c r="N171" s="4"/>
      <c r="O171" s="23"/>
      <c r="P171" s="23"/>
      <c r="Q171" s="4"/>
      <c r="R171" s="4"/>
    </row>
    <row r="172" spans="1:18" x14ac:dyDescent="0.25">
      <c r="A172" s="876"/>
      <c r="B172" s="4"/>
      <c r="C172" s="23"/>
      <c r="D172" s="23"/>
      <c r="E172" s="23"/>
      <c r="F172" s="23"/>
      <c r="G172" s="23"/>
      <c r="H172" s="23"/>
      <c r="I172" s="23"/>
      <c r="J172" s="23"/>
      <c r="K172" s="23"/>
      <c r="L172" s="23"/>
      <c r="M172" s="23"/>
      <c r="N172" s="4"/>
      <c r="O172" s="23"/>
      <c r="P172" s="23"/>
      <c r="Q172" s="4"/>
      <c r="R172" s="4"/>
    </row>
    <row r="173" spans="1:18" x14ac:dyDescent="0.25">
      <c r="A173" s="876"/>
      <c r="B173" s="4"/>
      <c r="C173" s="23"/>
      <c r="D173" s="23"/>
      <c r="E173" s="23"/>
      <c r="F173" s="23"/>
      <c r="G173" s="23"/>
      <c r="H173" s="23"/>
      <c r="I173" s="23"/>
      <c r="J173" s="23"/>
      <c r="K173" s="23"/>
      <c r="L173" s="23"/>
      <c r="M173" s="23"/>
      <c r="N173" s="4"/>
      <c r="O173" s="23"/>
      <c r="P173" s="23"/>
      <c r="Q173" s="4"/>
      <c r="R173" s="4"/>
    </row>
    <row r="174" spans="1:18" x14ac:dyDescent="0.25">
      <c r="A174" s="876"/>
      <c r="B174" s="4"/>
      <c r="C174" s="23"/>
      <c r="D174" s="23"/>
      <c r="E174" s="23"/>
      <c r="F174" s="23"/>
      <c r="G174" s="23"/>
      <c r="H174" s="23"/>
      <c r="I174" s="23"/>
      <c r="J174" s="23"/>
      <c r="K174" s="23"/>
      <c r="L174" s="23"/>
      <c r="M174" s="23"/>
      <c r="N174" s="4"/>
      <c r="O174" s="23"/>
      <c r="P174" s="23"/>
      <c r="Q174" s="4"/>
      <c r="R174" s="4"/>
    </row>
    <row r="175" spans="1:18" x14ac:dyDescent="0.25">
      <c r="A175" s="876"/>
      <c r="B175" s="4"/>
      <c r="C175" s="23"/>
      <c r="D175" s="23"/>
      <c r="E175" s="23"/>
      <c r="F175" s="23"/>
      <c r="G175" s="23"/>
      <c r="H175" s="23"/>
      <c r="I175" s="23"/>
      <c r="J175" s="23"/>
      <c r="K175" s="23"/>
      <c r="L175" s="23"/>
      <c r="M175" s="23"/>
      <c r="N175" s="4"/>
      <c r="O175" s="23"/>
      <c r="P175" s="23"/>
      <c r="Q175" s="4"/>
      <c r="R175" s="4"/>
    </row>
    <row r="176" spans="1:18" x14ac:dyDescent="0.25">
      <c r="C176" s="114"/>
    </row>
    <row r="177" spans="3:3" x14ac:dyDescent="0.25">
      <c r="C177" s="114"/>
    </row>
    <row r="178" spans="3:3" x14ac:dyDescent="0.25">
      <c r="C178" s="114"/>
    </row>
    <row r="179" spans="3:3" x14ac:dyDescent="0.25">
      <c r="C179" s="114"/>
    </row>
    <row r="180" spans="3:3" x14ac:dyDescent="0.25">
      <c r="C180" s="114"/>
    </row>
    <row r="181" spans="3:3" x14ac:dyDescent="0.25">
      <c r="C181" s="114"/>
    </row>
    <row r="182" spans="3:3" x14ac:dyDescent="0.25">
      <c r="C182" s="114"/>
    </row>
    <row r="183" spans="3:3" x14ac:dyDescent="0.25">
      <c r="C183" s="114"/>
    </row>
    <row r="184" spans="3:3" x14ac:dyDescent="0.25">
      <c r="C184" s="114"/>
    </row>
    <row r="185" spans="3:3" x14ac:dyDescent="0.25">
      <c r="C185" s="114"/>
    </row>
    <row r="186" spans="3:3" x14ac:dyDescent="0.25">
      <c r="C186" s="114"/>
    </row>
    <row r="187" spans="3:3" x14ac:dyDescent="0.25">
      <c r="C187" s="114"/>
    </row>
    <row r="188" spans="3:3" x14ac:dyDescent="0.25">
      <c r="C188" s="114"/>
    </row>
    <row r="189" spans="3:3" x14ac:dyDescent="0.25">
      <c r="C189" s="114"/>
    </row>
    <row r="190" spans="3:3" x14ac:dyDescent="0.25">
      <c r="C190" s="114"/>
    </row>
    <row r="191" spans="3:3" x14ac:dyDescent="0.25">
      <c r="C191" s="114"/>
    </row>
    <row r="192" spans="3:3" x14ac:dyDescent="0.25">
      <c r="C192" s="114"/>
    </row>
    <row r="193" spans="3:3" x14ac:dyDescent="0.25">
      <c r="C193" s="114"/>
    </row>
    <row r="194" spans="3:3" x14ac:dyDescent="0.25">
      <c r="C194" s="114"/>
    </row>
    <row r="195" spans="3:3" x14ac:dyDescent="0.25">
      <c r="C195" s="114"/>
    </row>
    <row r="196" spans="3:3" x14ac:dyDescent="0.25">
      <c r="C196" s="114"/>
    </row>
    <row r="197" spans="3:3" x14ac:dyDescent="0.25">
      <c r="C197" s="114"/>
    </row>
    <row r="198" spans="3:3" x14ac:dyDescent="0.25">
      <c r="C198" s="114"/>
    </row>
    <row r="199" spans="3:3" x14ac:dyDescent="0.25">
      <c r="C199" s="114"/>
    </row>
    <row r="200" spans="3:3" x14ac:dyDescent="0.25">
      <c r="C200" s="114"/>
    </row>
    <row r="201" spans="3:3" x14ac:dyDescent="0.25">
      <c r="C201" s="114"/>
    </row>
    <row r="202" spans="3:3" x14ac:dyDescent="0.25">
      <c r="C202" s="114"/>
    </row>
    <row r="203" spans="3:3" x14ac:dyDescent="0.25">
      <c r="C203" s="114"/>
    </row>
    <row r="204" spans="3:3" x14ac:dyDescent="0.25">
      <c r="C204" s="114"/>
    </row>
    <row r="205" spans="3:3" x14ac:dyDescent="0.25">
      <c r="C205" s="114"/>
    </row>
    <row r="206" spans="3:3" x14ac:dyDescent="0.25">
      <c r="C206" s="114"/>
    </row>
    <row r="207" spans="3:3" x14ac:dyDescent="0.25">
      <c r="C207" s="114"/>
    </row>
    <row r="208" spans="3:3" x14ac:dyDescent="0.25">
      <c r="C208" s="114"/>
    </row>
    <row r="209" spans="3:3" x14ac:dyDescent="0.25">
      <c r="C209" s="114"/>
    </row>
    <row r="210" spans="3:3" x14ac:dyDescent="0.25">
      <c r="C210" s="114"/>
    </row>
    <row r="211" spans="3:3" x14ac:dyDescent="0.25">
      <c r="C211" s="114"/>
    </row>
    <row r="212" spans="3:3" x14ac:dyDescent="0.25">
      <c r="C212" s="114"/>
    </row>
    <row r="213" spans="3:3" x14ac:dyDescent="0.25">
      <c r="C213" s="114"/>
    </row>
  </sheetData>
  <phoneticPr fontId="0" type="noConversion"/>
  <hyperlinks>
    <hyperlink ref="A1" location="'Working Budget with funding det'!A1" display="Main " xr:uid="{00000000-0004-0000-0E00-000000000000}"/>
    <hyperlink ref="B1" location="'Table of Contents'!A1" display="TOC" xr:uid="{00000000-0004-0000-0E00-000001000000}"/>
  </hyperlinks>
  <pageMargins left="0.75" right="0.75" top="1" bottom="1" header="0.5" footer="0.5"/>
  <pageSetup fitToHeight="2" orientation="landscape" horizontalDpi="300" verticalDpi="300" r:id="rId1"/>
  <headerFooter alignWithMargins="0">
    <oddFooter>&amp;L&amp;D     &amp;T&amp;C &amp;F&amp;R&amp;A</oddFooter>
  </headerFooter>
  <rowBreaks count="1" manualBreakCount="1">
    <brk id="33"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1:R164"/>
  <sheetViews>
    <sheetView zoomScaleNormal="100" workbookViewId="0">
      <pane ySplit="7" topLeftCell="A26" activePane="bottomLeft" state="frozen"/>
      <selection activeCell="P7" sqref="P7"/>
      <selection pane="bottomLeft" activeCell="O46" sqref="O46:P49"/>
    </sheetView>
  </sheetViews>
  <sheetFormatPr defaultRowHeight="13.2" x14ac:dyDescent="0.25"/>
  <cols>
    <col min="1" max="1" width="12.33203125" style="885" customWidth="1"/>
    <col min="2" max="2" width="36.6640625" customWidth="1"/>
    <col min="3" max="3" width="14.44140625" style="1" hidden="1" customWidth="1"/>
    <col min="4" max="10" width="14.44140625" style="114" hidden="1" customWidth="1"/>
    <col min="11" max="13" width="14.44140625" style="114" customWidth="1"/>
    <col min="14" max="14" width="14.44140625" customWidth="1"/>
    <col min="15" max="17" width="14.44140625" style="1" customWidth="1"/>
    <col min="18" max="18" width="14.44140625" customWidth="1"/>
    <col min="19" max="19" width="12" bestFit="1" customWidth="1"/>
  </cols>
  <sheetData>
    <row r="1" spans="1:18" x14ac:dyDescent="0.25">
      <c r="A1" s="874" t="s">
        <v>1021</v>
      </c>
      <c r="B1" s="371" t="s">
        <v>1348</v>
      </c>
      <c r="Q1" s="134"/>
      <c r="R1" s="94"/>
    </row>
    <row r="2" spans="1:18" ht="13.8" x14ac:dyDescent="0.25">
      <c r="A2" s="875" t="s">
        <v>259</v>
      </c>
      <c r="B2" s="45"/>
      <c r="E2" s="141"/>
      <c r="I2" s="141" t="s">
        <v>257</v>
      </c>
      <c r="J2" s="141"/>
      <c r="K2" s="141"/>
      <c r="L2" s="141"/>
      <c r="M2" s="141"/>
      <c r="N2" s="61" t="s">
        <v>282</v>
      </c>
      <c r="P2" s="46" t="s">
        <v>479</v>
      </c>
    </row>
    <row r="3" spans="1:18" ht="13.8" thickBot="1" x14ac:dyDescent="0.3">
      <c r="A3" s="876"/>
      <c r="B3" s="4"/>
      <c r="C3" s="23"/>
      <c r="D3" s="23"/>
      <c r="E3" s="23"/>
      <c r="F3" s="23"/>
      <c r="G3" s="23"/>
      <c r="H3" s="23"/>
      <c r="I3" s="23"/>
      <c r="J3" s="23"/>
      <c r="K3" s="23"/>
      <c r="L3" s="23"/>
      <c r="M3" s="23"/>
      <c r="N3" s="4"/>
      <c r="O3" s="23"/>
      <c r="P3" s="4"/>
      <c r="Q3" s="4"/>
    </row>
    <row r="4" spans="1:18" ht="13.8" thickTop="1" x14ac:dyDescent="0.25">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t="s">
        <v>910</v>
      </c>
    </row>
    <row r="5" spans="1:18" ht="12.75" customHeight="1" x14ac:dyDescent="0.25">
      <c r="A5" s="878"/>
      <c r="B5" s="209"/>
      <c r="C5" s="127"/>
      <c r="D5" s="87"/>
      <c r="E5" s="113"/>
      <c r="F5" s="87"/>
      <c r="G5" s="87"/>
      <c r="H5" s="113"/>
      <c r="I5" s="290"/>
      <c r="J5" s="290"/>
      <c r="K5" s="290"/>
      <c r="L5" s="290"/>
      <c r="M5" s="290"/>
      <c r="N5" s="113" t="s">
        <v>515</v>
      </c>
      <c r="O5" s="88" t="s">
        <v>7</v>
      </c>
      <c r="P5" s="203" t="s">
        <v>782</v>
      </c>
    </row>
    <row r="6" spans="1:18" ht="12.75" customHeight="1" x14ac:dyDescent="0.25">
      <c r="A6" s="878"/>
      <c r="B6" s="209"/>
      <c r="C6" s="127"/>
      <c r="D6" s="127"/>
      <c r="E6" s="127"/>
      <c r="F6" s="127"/>
      <c r="G6" s="127"/>
      <c r="H6" s="127"/>
      <c r="I6" s="88"/>
      <c r="J6" s="88"/>
      <c r="K6" s="88"/>
      <c r="L6" s="88"/>
      <c r="M6" s="88"/>
      <c r="N6" s="127"/>
      <c r="O6" s="88" t="s">
        <v>8</v>
      </c>
      <c r="P6" s="47" t="s">
        <v>543</v>
      </c>
    </row>
    <row r="7" spans="1:18"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44561</v>
      </c>
      <c r="O7" s="9" t="s">
        <v>9</v>
      </c>
      <c r="P7" s="9" t="s">
        <v>546</v>
      </c>
    </row>
    <row r="8" spans="1:18" ht="13.8" thickTop="1" x14ac:dyDescent="0.25">
      <c r="A8" s="908">
        <v>5111</v>
      </c>
      <c r="B8" s="210" t="s">
        <v>688</v>
      </c>
      <c r="C8" s="132">
        <v>105657.64</v>
      </c>
      <c r="D8" s="18">
        <v>117593.25</v>
      </c>
      <c r="E8" s="18">
        <v>109813.74</v>
      </c>
      <c r="F8" s="18">
        <v>119779.13</v>
      </c>
      <c r="G8" s="18">
        <v>130150.2</v>
      </c>
      <c r="H8" s="18">
        <v>135093.79999999999</v>
      </c>
      <c r="I8" s="18">
        <v>140705.20000000001</v>
      </c>
      <c r="J8" s="18">
        <v>145876.41</v>
      </c>
      <c r="K8" s="19">
        <v>150622</v>
      </c>
      <c r="L8" s="18">
        <v>127173.93</v>
      </c>
      <c r="M8" s="19">
        <v>117035</v>
      </c>
      <c r="N8" s="18">
        <v>45346.45</v>
      </c>
      <c r="O8" s="124">
        <f>ROUND((+N51),0)+1</f>
        <v>111921</v>
      </c>
      <c r="P8" s="137"/>
    </row>
    <row r="9" spans="1:18" x14ac:dyDescent="0.25">
      <c r="A9" s="881">
        <v>5115</v>
      </c>
      <c r="B9" s="63" t="s">
        <v>561</v>
      </c>
      <c r="C9" s="132">
        <v>1000</v>
      </c>
      <c r="D9" s="18">
        <v>1500</v>
      </c>
      <c r="E9" s="18">
        <v>1500</v>
      </c>
      <c r="F9" s="18">
        <v>1500</v>
      </c>
      <c r="G9" s="18">
        <v>1500</v>
      </c>
      <c r="H9" s="18">
        <v>1500</v>
      </c>
      <c r="I9" s="18">
        <v>1500</v>
      </c>
      <c r="J9" s="18">
        <v>1765</v>
      </c>
      <c r="K9" s="19">
        <v>1765</v>
      </c>
      <c r="L9" s="18">
        <v>1765</v>
      </c>
      <c r="M9" s="19">
        <v>1765</v>
      </c>
      <c r="N9" s="18">
        <v>882.48</v>
      </c>
      <c r="O9" s="19">
        <v>1765</v>
      </c>
      <c r="P9" s="14"/>
    </row>
    <row r="10" spans="1:18" x14ac:dyDescent="0.25">
      <c r="A10" s="881">
        <v>5115</v>
      </c>
      <c r="B10" s="63" t="s">
        <v>531</v>
      </c>
      <c r="C10" s="130">
        <v>1000</v>
      </c>
      <c r="D10" s="13">
        <v>1500</v>
      </c>
      <c r="E10" s="13">
        <v>1500</v>
      </c>
      <c r="F10" s="13">
        <v>1500</v>
      </c>
      <c r="G10" s="13">
        <v>1500</v>
      </c>
      <c r="H10" s="13">
        <v>1500</v>
      </c>
      <c r="I10" s="13">
        <v>1500</v>
      </c>
      <c r="J10" s="13">
        <v>1605</v>
      </c>
      <c r="K10" s="14">
        <v>1605</v>
      </c>
      <c r="L10" s="13">
        <v>1605</v>
      </c>
      <c r="M10" s="14">
        <v>1605</v>
      </c>
      <c r="N10" s="13">
        <v>802.5</v>
      </c>
      <c r="O10" s="14">
        <v>1605</v>
      </c>
      <c r="P10" s="14"/>
    </row>
    <row r="11" spans="1:18" x14ac:dyDescent="0.25">
      <c r="A11" s="881">
        <v>5115</v>
      </c>
      <c r="B11" s="63" t="s">
        <v>532</v>
      </c>
      <c r="C11" s="130">
        <v>1000</v>
      </c>
      <c r="D11" s="13">
        <v>1500</v>
      </c>
      <c r="E11" s="13">
        <v>1500</v>
      </c>
      <c r="F11" s="13">
        <f>1500-125</f>
        <v>1375</v>
      </c>
      <c r="G11" s="13">
        <v>1500</v>
      </c>
      <c r="H11" s="13">
        <v>1500</v>
      </c>
      <c r="I11" s="13">
        <v>1500</v>
      </c>
      <c r="J11" s="13">
        <v>1203.75</v>
      </c>
      <c r="K11" s="14">
        <v>1605</v>
      </c>
      <c r="L11" s="13">
        <v>1337.5</v>
      </c>
      <c r="M11" s="14">
        <v>1605</v>
      </c>
      <c r="N11" s="13">
        <v>802.5</v>
      </c>
      <c r="O11" s="14">
        <v>1605</v>
      </c>
      <c r="P11" s="14"/>
    </row>
    <row r="12" spans="1:18" x14ac:dyDescent="0.25">
      <c r="A12" s="881">
        <v>5124</v>
      </c>
      <c r="B12" s="63" t="s">
        <v>738</v>
      </c>
      <c r="C12" s="250">
        <v>3759.75</v>
      </c>
      <c r="D12" s="37"/>
      <c r="E12" s="37">
        <v>10668.63</v>
      </c>
      <c r="F12" s="37">
        <v>6926.31</v>
      </c>
      <c r="G12" s="37"/>
      <c r="H12" s="37"/>
      <c r="I12" s="37"/>
      <c r="J12" s="37"/>
      <c r="K12" s="38"/>
      <c r="L12" s="37">
        <v>1443.96</v>
      </c>
      <c r="M12" s="38"/>
      <c r="N12" s="37">
        <v>9235.2199999999993</v>
      </c>
      <c r="O12" s="38"/>
      <c r="P12" s="38"/>
    </row>
    <row r="13" spans="1:18" ht="13.8" thickBot="1" x14ac:dyDescent="0.3">
      <c r="A13" s="881">
        <v>5144</v>
      </c>
      <c r="B13" s="63" t="s">
        <v>157</v>
      </c>
      <c r="C13" s="250">
        <v>150</v>
      </c>
      <c r="D13" s="37"/>
      <c r="E13" s="37"/>
      <c r="F13" s="15">
        <v>150</v>
      </c>
      <c r="G13" s="15">
        <v>500</v>
      </c>
      <c r="H13" s="15">
        <v>800</v>
      </c>
      <c r="I13" s="13">
        <v>800</v>
      </c>
      <c r="J13" s="13">
        <v>800</v>
      </c>
      <c r="K13" s="14">
        <v>1400</v>
      </c>
      <c r="L13" s="13">
        <v>1100</v>
      </c>
      <c r="M13" s="14">
        <v>1100</v>
      </c>
      <c r="N13" s="13">
        <v>300</v>
      </c>
      <c r="O13" s="14">
        <f>+Q52</f>
        <v>300</v>
      </c>
      <c r="P13" s="14"/>
    </row>
    <row r="14" spans="1:18" x14ac:dyDescent="0.25">
      <c r="A14" s="881">
        <v>5193</v>
      </c>
      <c r="B14" s="63" t="s">
        <v>699</v>
      </c>
      <c r="C14" s="250">
        <v>3000</v>
      </c>
      <c r="D14" s="37"/>
      <c r="E14" s="37"/>
      <c r="F14" s="30"/>
      <c r="G14" s="30"/>
      <c r="H14" s="30"/>
      <c r="I14" s="30"/>
      <c r="J14" s="30"/>
      <c r="K14" s="31"/>
      <c r="L14" s="30">
        <v>2066.4899999999998</v>
      </c>
      <c r="M14" s="31"/>
      <c r="N14" s="30"/>
      <c r="O14" s="31"/>
      <c r="P14" s="31"/>
    </row>
    <row r="15" spans="1:18" ht="13.8" thickBot="1" x14ac:dyDescent="0.3">
      <c r="A15" s="881">
        <v>5194</v>
      </c>
      <c r="B15" s="63" t="s">
        <v>226</v>
      </c>
      <c r="C15" s="131">
        <v>2500</v>
      </c>
      <c r="D15" s="15"/>
      <c r="E15" s="15"/>
      <c r="F15" s="15"/>
      <c r="G15" s="15"/>
      <c r="H15" s="15"/>
      <c r="I15" s="15"/>
      <c r="J15" s="15"/>
      <c r="K15" s="16"/>
      <c r="L15" s="15">
        <v>2282.5</v>
      </c>
      <c r="M15" s="16"/>
      <c r="N15" s="15"/>
      <c r="O15" s="16"/>
      <c r="P15" s="16"/>
    </row>
    <row r="16" spans="1:18" x14ac:dyDescent="0.25">
      <c r="A16" s="881"/>
      <c r="B16" s="64" t="s">
        <v>130</v>
      </c>
      <c r="C16" s="132">
        <f t="shared" ref="C16:H16" si="0">SUM(C8:C15)</f>
        <v>118067.39</v>
      </c>
      <c r="D16" s="18">
        <f t="shared" si="0"/>
        <v>122093.25</v>
      </c>
      <c r="E16" s="18">
        <f t="shared" si="0"/>
        <v>124982.37000000001</v>
      </c>
      <c r="F16" s="18">
        <f t="shared" si="0"/>
        <v>131230.44</v>
      </c>
      <c r="G16" s="18">
        <f t="shared" si="0"/>
        <v>135150.20000000001</v>
      </c>
      <c r="H16" s="18">
        <f t="shared" si="0"/>
        <v>140393.79999999999</v>
      </c>
      <c r="I16" s="18">
        <f>SUM(I8:I13)</f>
        <v>146005.20000000001</v>
      </c>
      <c r="J16" s="18">
        <f>SUM(J8:J13)</f>
        <v>151250.16</v>
      </c>
      <c r="K16" s="19">
        <f>SUM(K8:K13)</f>
        <v>156997</v>
      </c>
      <c r="L16" s="18">
        <f>SUM(L8:L15)</f>
        <v>138774.37999999998</v>
      </c>
      <c r="M16" s="19">
        <f t="shared" ref="M16" si="1">SUM(M8:M13)</f>
        <v>123110</v>
      </c>
      <c r="N16" s="18">
        <f>SUM(N8:N15)</f>
        <v>57369.15</v>
      </c>
      <c r="O16" s="19">
        <f>SUM(O8:O13)</f>
        <v>117196</v>
      </c>
      <c r="P16" s="19"/>
    </row>
    <row r="17" spans="1:16" x14ac:dyDescent="0.25">
      <c r="A17" s="881"/>
      <c r="B17" s="63"/>
      <c r="C17" s="130"/>
      <c r="D17" s="13"/>
      <c r="E17" s="13"/>
      <c r="F17" s="13"/>
      <c r="G17" s="13"/>
      <c r="H17" s="13"/>
      <c r="I17" s="13"/>
      <c r="J17" s="13"/>
      <c r="K17" s="14"/>
      <c r="L17" s="13"/>
      <c r="M17" s="14"/>
      <c r="N17" s="13"/>
      <c r="O17" s="14"/>
      <c r="P17" s="14"/>
    </row>
    <row r="18" spans="1:16" x14ac:dyDescent="0.25">
      <c r="A18" s="881">
        <v>5248</v>
      </c>
      <c r="B18" s="63" t="s">
        <v>138</v>
      </c>
      <c r="C18" s="130"/>
      <c r="D18" s="13">
        <v>180.98</v>
      </c>
      <c r="E18" s="13">
        <v>152.24</v>
      </c>
      <c r="F18" s="13">
        <v>300</v>
      </c>
      <c r="G18" s="13"/>
      <c r="H18" s="13"/>
      <c r="I18" s="144">
        <v>0</v>
      </c>
      <c r="J18" s="144"/>
      <c r="K18" s="122">
        <v>600</v>
      </c>
      <c r="L18" s="144">
        <v>1734.75</v>
      </c>
      <c r="M18" s="122">
        <v>500</v>
      </c>
      <c r="N18" s="13"/>
      <c r="O18" s="122">
        <v>800</v>
      </c>
      <c r="P18" s="122"/>
    </row>
    <row r="19" spans="1:16" x14ac:dyDescent="0.25">
      <c r="A19" s="881">
        <v>5302</v>
      </c>
      <c r="B19" s="12" t="s">
        <v>151</v>
      </c>
      <c r="C19" s="13">
        <v>391</v>
      </c>
      <c r="D19" s="13">
        <v>1202.5</v>
      </c>
      <c r="E19" s="13">
        <v>630</v>
      </c>
      <c r="F19" s="13"/>
      <c r="G19" s="13">
        <v>5159.54</v>
      </c>
      <c r="H19" s="13">
        <v>9350.2000000000007</v>
      </c>
      <c r="I19" s="144">
        <v>130</v>
      </c>
      <c r="J19" s="144">
        <v>4457.2</v>
      </c>
      <c r="K19" s="122">
        <v>10500</v>
      </c>
      <c r="L19" s="144">
        <v>2130</v>
      </c>
      <c r="M19" s="122">
        <v>10500</v>
      </c>
      <c r="N19" s="13">
        <v>25.59</v>
      </c>
      <c r="O19" s="122">
        <v>10500</v>
      </c>
      <c r="P19" s="122"/>
    </row>
    <row r="20" spans="1:16" x14ac:dyDescent="0.25">
      <c r="A20" s="881">
        <v>5305</v>
      </c>
      <c r="B20" s="12" t="s">
        <v>148</v>
      </c>
      <c r="C20" s="13"/>
      <c r="D20" s="13">
        <v>0</v>
      </c>
      <c r="E20" s="13">
        <v>178.01</v>
      </c>
      <c r="F20" s="13">
        <v>354.12</v>
      </c>
      <c r="G20" s="13">
        <v>211.78</v>
      </c>
      <c r="H20" s="13">
        <v>200.08</v>
      </c>
      <c r="I20" s="144">
        <v>181.46</v>
      </c>
      <c r="J20" s="144">
        <v>221.2</v>
      </c>
      <c r="K20" s="122">
        <v>350</v>
      </c>
      <c r="L20" s="144">
        <v>118.01</v>
      </c>
      <c r="M20" s="122">
        <v>300</v>
      </c>
      <c r="N20" s="13"/>
      <c r="O20" s="122">
        <v>300</v>
      </c>
      <c r="P20" s="122"/>
    </row>
    <row r="21" spans="1:16" x14ac:dyDescent="0.25">
      <c r="A21" s="881">
        <v>5306</v>
      </c>
      <c r="B21" s="12" t="s">
        <v>21</v>
      </c>
      <c r="C21" s="13">
        <f>2000+4725</f>
        <v>6725</v>
      </c>
      <c r="D21" s="13">
        <f>2000+4955</f>
        <v>6955</v>
      </c>
      <c r="E21" s="13">
        <f>2000+4955</f>
        <v>6955</v>
      </c>
      <c r="F21" s="13">
        <v>4955</v>
      </c>
      <c r="G21" s="13">
        <v>7200</v>
      </c>
      <c r="H21" s="13">
        <v>7460</v>
      </c>
      <c r="I21" s="144">
        <v>7760</v>
      </c>
      <c r="J21" s="144">
        <v>8060</v>
      </c>
      <c r="K21" s="122">
        <v>8050</v>
      </c>
      <c r="L21" s="144">
        <v>8360</v>
      </c>
      <c r="M21" s="122">
        <v>8600</v>
      </c>
      <c r="N21" s="13">
        <v>9260</v>
      </c>
      <c r="O21" s="122">
        <v>9160</v>
      </c>
      <c r="P21" s="122"/>
    </row>
    <row r="22" spans="1:16" x14ac:dyDescent="0.25">
      <c r="A22" s="881">
        <v>5307</v>
      </c>
      <c r="B22" s="12" t="s">
        <v>862</v>
      </c>
      <c r="C22" s="13"/>
      <c r="D22" s="13"/>
      <c r="E22" s="13"/>
      <c r="F22" s="13">
        <v>1808</v>
      </c>
      <c r="G22" s="13">
        <v>1808</v>
      </c>
      <c r="H22" s="13">
        <v>1808</v>
      </c>
      <c r="I22" s="144">
        <v>1888</v>
      </c>
      <c r="J22" s="144">
        <v>600</v>
      </c>
      <c r="K22" s="122">
        <v>1900</v>
      </c>
      <c r="L22" s="144">
        <v>600</v>
      </c>
      <c r="M22" s="122">
        <v>1900</v>
      </c>
      <c r="N22" s="13"/>
      <c r="O22" s="122">
        <v>1900</v>
      </c>
      <c r="P22" s="122"/>
    </row>
    <row r="23" spans="1:16" x14ac:dyDescent="0.25">
      <c r="A23" s="881">
        <v>5308</v>
      </c>
      <c r="B23" s="12" t="s">
        <v>607</v>
      </c>
      <c r="C23" s="13">
        <f>2000+4900</f>
        <v>6900</v>
      </c>
      <c r="D23" s="13">
        <v>6900</v>
      </c>
      <c r="E23" s="13">
        <v>6900</v>
      </c>
      <c r="F23" s="13">
        <f>4900+2000</f>
        <v>6900</v>
      </c>
      <c r="G23" s="13">
        <v>6090</v>
      </c>
      <c r="H23" s="13">
        <v>4900</v>
      </c>
      <c r="I23" s="144">
        <v>4900</v>
      </c>
      <c r="J23" s="144">
        <v>4960.93</v>
      </c>
      <c r="K23" s="122">
        <v>5500</v>
      </c>
      <c r="L23" s="144">
        <v>5245</v>
      </c>
      <c r="M23" s="122">
        <v>5800</v>
      </c>
      <c r="N23" s="13">
        <v>3800</v>
      </c>
      <c r="O23" s="122">
        <v>5800</v>
      </c>
      <c r="P23" s="122"/>
    </row>
    <row r="24" spans="1:16" x14ac:dyDescent="0.25">
      <c r="A24" s="881">
        <v>5311</v>
      </c>
      <c r="B24" s="12" t="s">
        <v>152</v>
      </c>
      <c r="C24" s="13">
        <v>86</v>
      </c>
      <c r="D24" s="13">
        <v>94</v>
      </c>
      <c r="E24" s="13">
        <v>17</v>
      </c>
      <c r="F24" s="13">
        <v>9</v>
      </c>
      <c r="G24" s="13">
        <v>83</v>
      </c>
      <c r="H24" s="13">
        <v>14</v>
      </c>
      <c r="I24" s="144">
        <v>7</v>
      </c>
      <c r="J24" s="144">
        <v>19</v>
      </c>
      <c r="K24" s="122">
        <v>150</v>
      </c>
      <c r="L24" s="144">
        <v>10</v>
      </c>
      <c r="M24" s="122">
        <v>100</v>
      </c>
      <c r="N24" s="13"/>
      <c r="O24" s="122">
        <v>100</v>
      </c>
      <c r="P24" s="122"/>
    </row>
    <row r="25" spans="1:16" x14ac:dyDescent="0.25">
      <c r="A25" s="881">
        <v>5314</v>
      </c>
      <c r="B25" s="12" t="s">
        <v>139</v>
      </c>
      <c r="C25" s="13">
        <v>2071</v>
      </c>
      <c r="D25" s="13">
        <v>1328.75</v>
      </c>
      <c r="E25" s="13">
        <v>724.97</v>
      </c>
      <c r="F25" s="13">
        <v>754.1</v>
      </c>
      <c r="G25" s="13">
        <v>1927.05</v>
      </c>
      <c r="H25" s="13">
        <v>1198.5999999999999</v>
      </c>
      <c r="I25" s="144">
        <v>1610.75</v>
      </c>
      <c r="J25" s="144">
        <v>5707.25</v>
      </c>
      <c r="K25" s="122">
        <v>2200</v>
      </c>
      <c r="L25" s="144">
        <v>729</v>
      </c>
      <c r="M25" s="122">
        <v>2200</v>
      </c>
      <c r="N25" s="13">
        <v>155</v>
      </c>
      <c r="O25" s="122">
        <v>3500</v>
      </c>
      <c r="P25" s="122"/>
    </row>
    <row r="26" spans="1:16" x14ac:dyDescent="0.25">
      <c r="A26" s="881">
        <v>5315</v>
      </c>
      <c r="B26" s="12" t="s">
        <v>140</v>
      </c>
      <c r="C26" s="13">
        <v>2356.9</v>
      </c>
      <c r="D26" s="13"/>
      <c r="E26" s="13"/>
      <c r="F26" s="13"/>
      <c r="G26" s="13"/>
      <c r="H26" s="13"/>
      <c r="I26" s="144"/>
      <c r="J26" s="144"/>
      <c r="K26" s="122"/>
      <c r="L26" s="144">
        <v>900</v>
      </c>
      <c r="M26" s="122">
        <v>15776</v>
      </c>
      <c r="N26" s="13"/>
      <c r="O26" s="122">
        <v>15800</v>
      </c>
      <c r="P26" s="122"/>
    </row>
    <row r="27" spans="1:16" hidden="1" x14ac:dyDescent="0.25">
      <c r="A27" s="881">
        <v>5341</v>
      </c>
      <c r="B27" s="12" t="s">
        <v>141</v>
      </c>
      <c r="C27" s="13">
        <v>537.27</v>
      </c>
      <c r="D27" s="13">
        <v>473.76</v>
      </c>
      <c r="E27" s="13">
        <v>473.24</v>
      </c>
      <c r="F27" s="13">
        <v>503.56</v>
      </c>
      <c r="G27" s="13">
        <v>569.35</v>
      </c>
      <c r="H27" s="13"/>
      <c r="I27" s="144"/>
      <c r="J27" s="144"/>
      <c r="K27" s="122"/>
      <c r="L27" s="144"/>
      <c r="M27" s="122"/>
      <c r="N27" s="13"/>
      <c r="O27" s="122"/>
      <c r="P27" s="122"/>
    </row>
    <row r="28" spans="1:16" x14ac:dyDescent="0.25">
      <c r="A28" s="881">
        <v>5316</v>
      </c>
      <c r="B28" s="12" t="s">
        <v>1694</v>
      </c>
      <c r="C28" s="13"/>
      <c r="D28" s="13"/>
      <c r="E28" s="13"/>
      <c r="F28" s="13"/>
      <c r="G28" s="13"/>
      <c r="H28" s="13"/>
      <c r="I28" s="144"/>
      <c r="J28" s="144"/>
      <c r="K28" s="122"/>
      <c r="L28" s="144"/>
      <c r="M28" s="122"/>
      <c r="N28" s="13"/>
      <c r="O28" s="122">
        <v>11130</v>
      </c>
      <c r="P28" s="122"/>
    </row>
    <row r="29" spans="1:16" x14ac:dyDescent="0.25">
      <c r="A29" s="881">
        <v>5344</v>
      </c>
      <c r="B29" s="12" t="s">
        <v>142</v>
      </c>
      <c r="C29" s="13">
        <v>759.81</v>
      </c>
      <c r="D29" s="13">
        <v>509.12</v>
      </c>
      <c r="E29" s="13">
        <v>515.99</v>
      </c>
      <c r="F29" s="13">
        <v>760.05</v>
      </c>
      <c r="G29" s="13">
        <v>606.5</v>
      </c>
      <c r="H29" s="13">
        <v>958.18</v>
      </c>
      <c r="I29" s="144">
        <v>840.86</v>
      </c>
      <c r="J29" s="144">
        <v>846.45</v>
      </c>
      <c r="K29" s="122">
        <v>900</v>
      </c>
      <c r="L29" s="144">
        <v>828.98</v>
      </c>
      <c r="M29" s="122">
        <v>900</v>
      </c>
      <c r="N29" s="13">
        <v>8.6999999999999993</v>
      </c>
      <c r="O29" s="122">
        <v>900</v>
      </c>
      <c r="P29" s="122"/>
    </row>
    <row r="30" spans="1:16" x14ac:dyDescent="0.25">
      <c r="A30" s="881">
        <v>5345</v>
      </c>
      <c r="B30" s="12" t="s">
        <v>143</v>
      </c>
      <c r="C30" s="18">
        <v>178.85</v>
      </c>
      <c r="D30" s="18"/>
      <c r="E30" s="18">
        <v>6257.19</v>
      </c>
      <c r="F30" s="18">
        <v>59.14</v>
      </c>
      <c r="G30" s="18">
        <v>109.09</v>
      </c>
      <c r="H30" s="18">
        <v>93.64</v>
      </c>
      <c r="I30" s="126">
        <v>231.47</v>
      </c>
      <c r="J30" s="126">
        <v>101.56</v>
      </c>
      <c r="K30" s="124">
        <v>150</v>
      </c>
      <c r="L30" s="126">
        <v>0</v>
      </c>
      <c r="M30" s="124">
        <v>400</v>
      </c>
      <c r="N30" s="18">
        <v>459</v>
      </c>
      <c r="O30" s="124">
        <v>400</v>
      </c>
      <c r="P30" s="124"/>
    </row>
    <row r="31" spans="1:16" x14ac:dyDescent="0.25">
      <c r="A31" s="881">
        <v>5350</v>
      </c>
      <c r="B31" s="12" t="s">
        <v>1255</v>
      </c>
      <c r="C31" s="18"/>
      <c r="D31" s="18"/>
      <c r="E31" s="18"/>
      <c r="F31" s="18"/>
      <c r="G31" s="18"/>
      <c r="H31" s="18"/>
      <c r="I31" s="126"/>
      <c r="J31" s="126">
        <v>1500</v>
      </c>
      <c r="K31" s="124">
        <v>1500</v>
      </c>
      <c r="L31" s="126">
        <v>1500</v>
      </c>
      <c r="M31" s="124">
        <v>1500</v>
      </c>
      <c r="N31" s="18">
        <v>1500</v>
      </c>
      <c r="O31" s="124">
        <v>1500</v>
      </c>
      <c r="P31" s="124"/>
    </row>
    <row r="32" spans="1:16" x14ac:dyDescent="0.25">
      <c r="A32" s="881">
        <v>5380</v>
      </c>
      <c r="B32" s="12" t="s">
        <v>541</v>
      </c>
      <c r="C32" s="13"/>
      <c r="D32" s="13">
        <v>906.15</v>
      </c>
      <c r="E32" s="13">
        <v>1125.5</v>
      </c>
      <c r="F32" s="13">
        <v>2127.7199999999998</v>
      </c>
      <c r="G32" s="13">
        <v>349.2</v>
      </c>
      <c r="H32" s="13">
        <v>278.37</v>
      </c>
      <c r="I32" s="144">
        <v>3875.16</v>
      </c>
      <c r="J32" s="144">
        <v>3525.78</v>
      </c>
      <c r="K32" s="122">
        <v>2800</v>
      </c>
      <c r="L32" s="144">
        <v>3279.33</v>
      </c>
      <c r="M32" s="122">
        <v>4500</v>
      </c>
      <c r="N32" s="13">
        <v>6910</v>
      </c>
      <c r="O32" s="122">
        <v>4500</v>
      </c>
      <c r="P32" s="122"/>
    </row>
    <row r="33" spans="1:18" x14ac:dyDescent="0.25">
      <c r="A33" s="881">
        <v>5420</v>
      </c>
      <c r="B33" s="12" t="s">
        <v>144</v>
      </c>
      <c r="C33" s="18">
        <v>1160.76</v>
      </c>
      <c r="D33" s="18">
        <v>1173.71</v>
      </c>
      <c r="E33" s="18">
        <v>1294.46</v>
      </c>
      <c r="F33" s="18">
        <v>2323.9499999999998</v>
      </c>
      <c r="G33" s="18">
        <v>1624.24</v>
      </c>
      <c r="H33" s="18">
        <v>1639.75</v>
      </c>
      <c r="I33" s="126">
        <v>1112.48</v>
      </c>
      <c r="J33" s="126">
        <v>1660.68</v>
      </c>
      <c r="K33" s="124">
        <v>1000</v>
      </c>
      <c r="L33" s="126">
        <v>3372.86</v>
      </c>
      <c r="M33" s="124">
        <v>1000</v>
      </c>
      <c r="N33" s="18">
        <v>710.76</v>
      </c>
      <c r="O33" s="124">
        <v>1000</v>
      </c>
      <c r="P33" s="124"/>
    </row>
    <row r="34" spans="1:18" x14ac:dyDescent="0.25">
      <c r="A34" s="881">
        <v>5581</v>
      </c>
      <c r="B34" s="12" t="s">
        <v>146</v>
      </c>
      <c r="C34" s="13">
        <v>591.6</v>
      </c>
      <c r="D34" s="13">
        <v>721</v>
      </c>
      <c r="E34" s="13">
        <v>771</v>
      </c>
      <c r="F34" s="13">
        <v>817</v>
      </c>
      <c r="G34" s="13">
        <v>846.4</v>
      </c>
      <c r="H34" s="13">
        <v>851.4</v>
      </c>
      <c r="I34" s="144">
        <v>232.8</v>
      </c>
      <c r="J34" s="144">
        <v>418.69</v>
      </c>
      <c r="K34" s="122">
        <v>500</v>
      </c>
      <c r="L34" s="144">
        <v>69.83</v>
      </c>
      <c r="M34" s="122">
        <v>250</v>
      </c>
      <c r="N34" s="13">
        <v>20</v>
      </c>
      <c r="O34" s="122">
        <v>150</v>
      </c>
      <c r="P34" s="122"/>
    </row>
    <row r="35" spans="1:18" x14ac:dyDescent="0.25">
      <c r="A35" s="881">
        <v>5710</v>
      </c>
      <c r="B35" s="12" t="s">
        <v>535</v>
      </c>
      <c r="C35" s="18">
        <v>1600.96</v>
      </c>
      <c r="D35" s="18">
        <v>2086.83</v>
      </c>
      <c r="E35" s="18">
        <v>455.03</v>
      </c>
      <c r="F35" s="18">
        <v>1983.21</v>
      </c>
      <c r="G35" s="18">
        <v>1308.01</v>
      </c>
      <c r="H35" s="18">
        <v>3384.6</v>
      </c>
      <c r="I35" s="126">
        <v>3463.65</v>
      </c>
      <c r="J35" s="126">
        <v>1094.54</v>
      </c>
      <c r="K35" s="124">
        <v>1900</v>
      </c>
      <c r="L35" s="126">
        <v>1141.5999999999999</v>
      </c>
      <c r="M35" s="124">
        <v>2000</v>
      </c>
      <c r="N35" s="18">
        <v>192.08</v>
      </c>
      <c r="O35" s="124">
        <v>2200</v>
      </c>
      <c r="P35" s="124"/>
    </row>
    <row r="36" spans="1:18" ht="13.8" thickBot="1" x14ac:dyDescent="0.3">
      <c r="A36" s="881">
        <v>5730</v>
      </c>
      <c r="B36" s="12" t="s">
        <v>147</v>
      </c>
      <c r="C36" s="15">
        <v>225</v>
      </c>
      <c r="D36" s="15">
        <v>360</v>
      </c>
      <c r="E36" s="15">
        <v>325</v>
      </c>
      <c r="F36" s="15">
        <v>425</v>
      </c>
      <c r="G36" s="15">
        <v>360</v>
      </c>
      <c r="H36" s="15">
        <v>275</v>
      </c>
      <c r="I36" s="318">
        <v>460</v>
      </c>
      <c r="J36" s="318">
        <v>505</v>
      </c>
      <c r="K36" s="123">
        <v>425</v>
      </c>
      <c r="L36" s="318">
        <v>455.59</v>
      </c>
      <c r="M36" s="123">
        <v>425</v>
      </c>
      <c r="N36" s="15">
        <v>430</v>
      </c>
      <c r="O36" s="123">
        <v>425</v>
      </c>
      <c r="P36" s="123"/>
    </row>
    <row r="37" spans="1:18" x14ac:dyDescent="0.25">
      <c r="A37" s="881"/>
      <c r="B37" s="17" t="s">
        <v>449</v>
      </c>
      <c r="C37" s="18">
        <f t="shared" ref="C37:P37" si="2">SUM(C18:C36)</f>
        <v>23584.149999999998</v>
      </c>
      <c r="D37" s="18">
        <f t="shared" si="2"/>
        <v>22891.799999999996</v>
      </c>
      <c r="E37" s="18">
        <f t="shared" si="2"/>
        <v>26774.629999999997</v>
      </c>
      <c r="F37" s="18">
        <f t="shared" si="2"/>
        <v>24079.85</v>
      </c>
      <c r="G37" s="18">
        <f t="shared" si="2"/>
        <v>28252.16</v>
      </c>
      <c r="H37" s="18">
        <f t="shared" si="2"/>
        <v>32411.819999999996</v>
      </c>
      <c r="I37" s="18">
        <f t="shared" si="2"/>
        <v>26693.63</v>
      </c>
      <c r="J37" s="18">
        <f t="shared" si="2"/>
        <v>33678.28</v>
      </c>
      <c r="K37" s="19">
        <f t="shared" si="2"/>
        <v>38425</v>
      </c>
      <c r="L37" s="18">
        <f t="shared" ref="L37:M37" si="3">SUM(L18:L36)</f>
        <v>30474.95</v>
      </c>
      <c r="M37" s="19">
        <f t="shared" si="3"/>
        <v>56651</v>
      </c>
      <c r="N37" s="18">
        <f t="shared" si="2"/>
        <v>23471.13</v>
      </c>
      <c r="O37" s="19">
        <f t="shared" si="2"/>
        <v>70065</v>
      </c>
      <c r="P37" s="19">
        <f t="shared" si="2"/>
        <v>0</v>
      </c>
    </row>
    <row r="38" spans="1:18" x14ac:dyDescent="0.25">
      <c r="A38" s="881"/>
      <c r="B38" s="17"/>
      <c r="C38" s="18"/>
      <c r="D38" s="18"/>
      <c r="E38" s="18"/>
      <c r="F38" s="18"/>
      <c r="G38" s="18"/>
      <c r="H38" s="18"/>
      <c r="I38" s="18"/>
      <c r="J38" s="18"/>
      <c r="K38" s="19"/>
      <c r="L38" s="18"/>
      <c r="M38" s="19"/>
      <c r="N38" s="18"/>
      <c r="O38" s="19"/>
      <c r="P38" s="19"/>
    </row>
    <row r="39" spans="1:18" ht="13.8" hidden="1" thickBot="1" x14ac:dyDescent="0.3">
      <c r="A39" s="881">
        <v>5800</v>
      </c>
      <c r="B39" s="12" t="s">
        <v>866</v>
      </c>
      <c r="C39" s="15"/>
      <c r="D39" s="15"/>
      <c r="E39" s="15"/>
      <c r="F39" s="15">
        <v>3860</v>
      </c>
      <c r="G39" s="15"/>
      <c r="H39" s="15"/>
      <c r="I39" s="15"/>
      <c r="J39" s="15"/>
      <c r="K39" s="16"/>
      <c r="L39" s="15"/>
      <c r="M39" s="16"/>
      <c r="N39" s="15"/>
      <c r="O39" s="16"/>
      <c r="P39" s="16"/>
    </row>
    <row r="40" spans="1:18" hidden="1" x14ac:dyDescent="0.25">
      <c r="A40" s="881"/>
      <c r="B40" s="17" t="s">
        <v>136</v>
      </c>
      <c r="C40" s="19">
        <f t="shared" ref="C40:O40" si="4">+C39</f>
        <v>0</v>
      </c>
      <c r="D40" s="19">
        <f t="shared" si="4"/>
        <v>0</v>
      </c>
      <c r="E40" s="19">
        <f t="shared" si="4"/>
        <v>0</v>
      </c>
      <c r="F40" s="18">
        <f>+F39</f>
        <v>3860</v>
      </c>
      <c r="G40" s="18">
        <f>+G39</f>
        <v>0</v>
      </c>
      <c r="H40" s="18">
        <f>+H39</f>
        <v>0</v>
      </c>
      <c r="I40" s="18">
        <f t="shared" si="4"/>
        <v>0</v>
      </c>
      <c r="J40" s="18">
        <f t="shared" ref="J40" si="5">+J39</f>
        <v>0</v>
      </c>
      <c r="K40" s="19">
        <f t="shared" ref="K40:M40" si="6">+K39</f>
        <v>0</v>
      </c>
      <c r="L40" s="18">
        <f t="shared" si="6"/>
        <v>0</v>
      </c>
      <c r="M40" s="19">
        <f t="shared" si="6"/>
        <v>0</v>
      </c>
      <c r="N40" s="19">
        <f t="shared" si="4"/>
        <v>0</v>
      </c>
      <c r="O40" s="19">
        <f t="shared" si="4"/>
        <v>0</v>
      </c>
      <c r="P40" s="19">
        <f>+P39</f>
        <v>0</v>
      </c>
    </row>
    <row r="41" spans="1:18" hidden="1" x14ac:dyDescent="0.25">
      <c r="A41" s="881"/>
      <c r="B41" s="12"/>
      <c r="C41" s="13"/>
      <c r="D41" s="13"/>
      <c r="E41" s="13"/>
      <c r="F41" s="13"/>
      <c r="G41" s="13"/>
      <c r="H41" s="13"/>
      <c r="I41" s="13"/>
      <c r="J41" s="13"/>
      <c r="K41" s="14"/>
      <c r="L41" s="13"/>
      <c r="M41" s="14"/>
      <c r="N41" s="13"/>
      <c r="O41" s="14"/>
      <c r="P41" s="14"/>
    </row>
    <row r="42" spans="1:18" ht="13.8" thickBot="1" x14ac:dyDescent="0.3">
      <c r="A42" s="882"/>
      <c r="B42" s="20" t="s">
        <v>454</v>
      </c>
      <c r="C42" s="21">
        <f>+C16+C37+C40</f>
        <v>141651.54</v>
      </c>
      <c r="D42" s="21">
        <f>+D16+D37+D40</f>
        <v>144985.04999999999</v>
      </c>
      <c r="E42" s="21">
        <f>+E16+E37+E40</f>
        <v>151757</v>
      </c>
      <c r="F42" s="21">
        <f>+F40+F37+F16</f>
        <v>159170.29</v>
      </c>
      <c r="G42" s="21">
        <f>+G40+G37+G16</f>
        <v>163402.36000000002</v>
      </c>
      <c r="H42" s="21">
        <f>+H40+H37+H16</f>
        <v>172805.62</v>
      </c>
      <c r="I42" s="21">
        <f>+I37+I16+I40</f>
        <v>172698.83000000002</v>
      </c>
      <c r="J42" s="21">
        <f>+J37+J16+J40</f>
        <v>184928.44</v>
      </c>
      <c r="K42" s="41">
        <f>+K37+K16+K40</f>
        <v>195422</v>
      </c>
      <c r="L42" s="21">
        <f t="shared" ref="L42:M42" si="7">+L37+L16+L40</f>
        <v>169249.33</v>
      </c>
      <c r="M42" s="41">
        <f t="shared" si="7"/>
        <v>179761</v>
      </c>
      <c r="N42" s="21">
        <f>+N37+N16+N40</f>
        <v>80840.28</v>
      </c>
      <c r="O42" s="41">
        <f>+O37+O16+O40</f>
        <v>187261</v>
      </c>
      <c r="P42" s="41">
        <f>+O42</f>
        <v>187261</v>
      </c>
    </row>
    <row r="43" spans="1:18" ht="13.8" thickTop="1" x14ac:dyDescent="0.25">
      <c r="A43" s="905"/>
      <c r="B43" s="83"/>
      <c r="C43" s="24"/>
      <c r="D43" s="24"/>
      <c r="E43" s="24"/>
      <c r="F43" s="24"/>
      <c r="G43" s="24"/>
      <c r="H43" s="24"/>
      <c r="I43" s="24"/>
      <c r="J43" s="24"/>
      <c r="K43" s="214"/>
      <c r="L43" s="214"/>
      <c r="M43" s="214"/>
      <c r="N43" s="24"/>
      <c r="O43" s="214"/>
      <c r="P43" s="214"/>
    </row>
    <row r="44" spans="1:18" x14ac:dyDescent="0.25">
      <c r="A44" s="898"/>
      <c r="B44" s="95"/>
      <c r="C44" s="23"/>
      <c r="D44" s="23"/>
      <c r="E44" s="23"/>
      <c r="F44" s="23"/>
      <c r="G44" s="23"/>
      <c r="H44" s="23"/>
      <c r="I44" s="23"/>
      <c r="J44" s="23"/>
      <c r="K44" s="23"/>
      <c r="L44" s="23"/>
      <c r="M44" s="23"/>
      <c r="N44" s="27"/>
      <c r="O44" s="23"/>
      <c r="P44" s="77"/>
      <c r="Q44" s="23"/>
      <c r="R44" s="27"/>
    </row>
    <row r="45" spans="1:18" ht="13.8" thickBot="1" x14ac:dyDescent="0.3">
      <c r="A45" s="876" t="s">
        <v>527</v>
      </c>
      <c r="B45" s="4"/>
      <c r="O45" s="105"/>
    </row>
    <row r="46" spans="1:18" ht="13.8" thickTop="1" x14ac:dyDescent="0.25">
      <c r="A46" s="883" t="s">
        <v>891</v>
      </c>
      <c r="B46" s="107"/>
      <c r="K46" s="149" t="s">
        <v>85</v>
      </c>
      <c r="L46" s="156" t="s">
        <v>33</v>
      </c>
      <c r="M46" s="168"/>
      <c r="N46" s="158" t="s">
        <v>579</v>
      </c>
      <c r="O46"/>
      <c r="P46" s="212"/>
      <c r="Q46"/>
    </row>
    <row r="47" spans="1:18" ht="13.8" thickBot="1" x14ac:dyDescent="0.3">
      <c r="A47" s="884" t="s">
        <v>892</v>
      </c>
      <c r="B47" s="109" t="s">
        <v>528</v>
      </c>
      <c r="K47" s="343">
        <v>44743</v>
      </c>
      <c r="L47" s="159" t="s">
        <v>576</v>
      </c>
      <c r="M47" s="160" t="s">
        <v>34</v>
      </c>
      <c r="N47" s="160" t="s">
        <v>106</v>
      </c>
      <c r="O47" s="234"/>
      <c r="P47" s="234"/>
      <c r="Q47" s="234" t="s">
        <v>350</v>
      </c>
    </row>
    <row r="48" spans="1:18" ht="13.8" thickTop="1" x14ac:dyDescent="0.25">
      <c r="A48" s="151"/>
      <c r="B48" s="110" t="s">
        <v>107</v>
      </c>
      <c r="K48" s="19" t="s">
        <v>1313</v>
      </c>
      <c r="L48" s="18"/>
      <c r="M48" s="18"/>
      <c r="N48" s="155">
        <f>+'NAGE &amp; Non-Union Wages'!L10</f>
        <v>76139</v>
      </c>
      <c r="O48" s="171"/>
      <c r="P48" s="885"/>
      <c r="Q48" s="1">
        <v>300</v>
      </c>
    </row>
    <row r="49" spans="1:18" x14ac:dyDescent="0.25">
      <c r="A49" s="152"/>
      <c r="B49" s="63" t="s">
        <v>549</v>
      </c>
      <c r="K49" s="14" t="s">
        <v>1479</v>
      </c>
      <c r="L49" s="166">
        <f>+'NAGE &amp; Non-Union Wages'!F5</f>
        <v>19.66</v>
      </c>
      <c r="M49" s="18">
        <v>1820</v>
      </c>
      <c r="N49" s="155">
        <f>ROUND((+L49*M49),2)</f>
        <v>35781.199999999997</v>
      </c>
      <c r="O49" s="171"/>
      <c r="P49" s="885"/>
      <c r="Q49" s="294">
        <v>0</v>
      </c>
    </row>
    <row r="50" spans="1:18" x14ac:dyDescent="0.25">
      <c r="A50" s="152"/>
      <c r="B50" s="63"/>
      <c r="K50" s="13"/>
      <c r="L50" s="166"/>
      <c r="M50" s="18"/>
      <c r="N50" s="155"/>
      <c r="O50" s="171"/>
      <c r="P50"/>
      <c r="Q50" s="294"/>
    </row>
    <row r="51" spans="1:18" x14ac:dyDescent="0.25">
      <c r="A51" s="74"/>
      <c r="B51" s="73"/>
      <c r="K51" s="75"/>
      <c r="L51" s="73"/>
      <c r="M51" s="73"/>
      <c r="N51" s="166">
        <f>SUM(N48:N50)</f>
        <v>111920.2</v>
      </c>
      <c r="O51"/>
      <c r="P51"/>
      <c r="Q51"/>
    </row>
    <row r="52" spans="1:18" x14ac:dyDescent="0.25">
      <c r="A52" s="876"/>
      <c r="B52" s="4"/>
      <c r="C52" s="23"/>
      <c r="D52" s="23"/>
      <c r="E52" s="23"/>
      <c r="I52" s="23"/>
      <c r="J52" s="23"/>
      <c r="K52" s="23"/>
      <c r="L52" s="23"/>
      <c r="M52" s="23"/>
      <c r="N52" s="27"/>
      <c r="O52"/>
      <c r="P52" t="s">
        <v>439</v>
      </c>
      <c r="Q52">
        <f>SUM(Q48:Q51)</f>
        <v>300</v>
      </c>
    </row>
    <row r="53" spans="1:18" x14ac:dyDescent="0.25">
      <c r="A53" s="876"/>
      <c r="B53" s="95"/>
      <c r="C53" s="105"/>
      <c r="D53" s="105"/>
      <c r="E53" s="105"/>
      <c r="I53" s="105"/>
      <c r="J53" s="23"/>
      <c r="K53" s="23"/>
      <c r="L53" s="23"/>
      <c r="M53" s="23"/>
      <c r="N53" s="27"/>
      <c r="O53" s="23"/>
      <c r="P53" s="23"/>
      <c r="Q53" s="23"/>
      <c r="R53" s="27"/>
    </row>
    <row r="54" spans="1:18" ht="14.4" thickBot="1" x14ac:dyDescent="0.3">
      <c r="A54" s="940"/>
      <c r="B54" s="4"/>
      <c r="C54" s="23"/>
      <c r="D54" s="23"/>
      <c r="E54" s="23"/>
      <c r="I54" s="23"/>
      <c r="J54" s="23"/>
      <c r="K54" s="23"/>
      <c r="L54" s="23"/>
      <c r="M54" s="23"/>
      <c r="N54" s="27"/>
      <c r="O54" s="23"/>
      <c r="P54" s="23"/>
      <c r="Q54" s="23"/>
      <c r="R54" s="27"/>
    </row>
    <row r="55" spans="1:18" ht="13.8" thickTop="1" x14ac:dyDescent="0.25">
      <c r="A55" s="893"/>
      <c r="B55" s="452"/>
      <c r="C55" s="453" t="s">
        <v>127</v>
      </c>
      <c r="D55" s="454" t="s">
        <v>127</v>
      </c>
      <c r="E55" s="454" t="s">
        <v>127</v>
      </c>
      <c r="K55" s="455" t="s">
        <v>547</v>
      </c>
      <c r="L55" s="456" t="s">
        <v>9</v>
      </c>
      <c r="M55" s="457" t="s">
        <v>1073</v>
      </c>
      <c r="N55" s="456" t="s">
        <v>686</v>
      </c>
      <c r="O55" s="458"/>
      <c r="P55" s="457"/>
      <c r="Q55" s="23"/>
      <c r="R55" s="27"/>
    </row>
    <row r="56" spans="1:18" ht="13.8" thickBot="1" x14ac:dyDescent="0.3">
      <c r="A56" s="894" t="s">
        <v>128</v>
      </c>
      <c r="B56" s="459"/>
      <c r="C56" s="460" t="s">
        <v>347</v>
      </c>
      <c r="D56" s="460" t="s">
        <v>722</v>
      </c>
      <c r="E56" s="461" t="s">
        <v>737</v>
      </c>
      <c r="K56" s="462" t="s">
        <v>909</v>
      </c>
      <c r="L56" s="462" t="s">
        <v>910</v>
      </c>
      <c r="M56" s="461" t="s">
        <v>1075</v>
      </c>
      <c r="N56" s="463" t="s">
        <v>1075</v>
      </c>
      <c r="O56" s="464" t="s">
        <v>1074</v>
      </c>
      <c r="P56" s="462"/>
      <c r="Q56" s="23"/>
      <c r="R56" s="27"/>
    </row>
    <row r="57" spans="1:18" ht="13.8" thickTop="1" x14ac:dyDescent="0.25">
      <c r="A57" s="910">
        <v>5111</v>
      </c>
      <c r="B57" s="480" t="s">
        <v>688</v>
      </c>
      <c r="C57" s="468">
        <v>105657.64</v>
      </c>
      <c r="D57" s="468">
        <v>117593.25</v>
      </c>
      <c r="E57" s="468">
        <v>109813.74</v>
      </c>
      <c r="K57" s="469">
        <f t="shared" ref="K57:K62" si="8">+M8</f>
        <v>117035</v>
      </c>
      <c r="L57" s="496">
        <f t="shared" ref="L57:L62" si="9">+O8</f>
        <v>111921</v>
      </c>
      <c r="M57" s="471">
        <f t="shared" ref="M57:M81" si="10">+L57-K57</f>
        <v>-5114</v>
      </c>
      <c r="N57" s="477">
        <f t="shared" ref="N57:N81" si="11">IF(K57+L57&lt;&gt;0,IF(K57&lt;&gt;0,IF(M57&lt;&gt;0,ROUND((+M57/K57),4),""),1),"")</f>
        <v>-4.3700000000000003E-2</v>
      </c>
      <c r="O57" s="470"/>
      <c r="P57" s="471"/>
      <c r="Q57" s="23"/>
      <c r="R57" s="27"/>
    </row>
    <row r="58" spans="1:18" x14ac:dyDescent="0.25">
      <c r="A58" s="907">
        <v>5115</v>
      </c>
      <c r="B58" s="472" t="s">
        <v>561</v>
      </c>
      <c r="C58" s="468">
        <v>1000</v>
      </c>
      <c r="D58" s="468">
        <v>1500</v>
      </c>
      <c r="E58" s="468">
        <v>1500</v>
      </c>
      <c r="K58" s="469">
        <f t="shared" si="8"/>
        <v>1765</v>
      </c>
      <c r="L58" s="496">
        <f t="shared" si="9"/>
        <v>1765</v>
      </c>
      <c r="M58" s="471">
        <f t="shared" si="10"/>
        <v>0</v>
      </c>
      <c r="N58" s="477" t="str">
        <f t="shared" si="11"/>
        <v/>
      </c>
      <c r="O58" s="470"/>
      <c r="P58" s="471"/>
      <c r="Q58" s="23"/>
      <c r="R58" s="27"/>
    </row>
    <row r="59" spans="1:18" x14ac:dyDescent="0.25">
      <c r="A59" s="907">
        <v>5115</v>
      </c>
      <c r="B59" s="472" t="s">
        <v>531</v>
      </c>
      <c r="C59" s="476">
        <v>1000</v>
      </c>
      <c r="D59" s="476">
        <v>1500</v>
      </c>
      <c r="E59" s="476">
        <v>1500</v>
      </c>
      <c r="K59" s="469">
        <f t="shared" si="8"/>
        <v>1605</v>
      </c>
      <c r="L59" s="496">
        <f t="shared" si="9"/>
        <v>1605</v>
      </c>
      <c r="M59" s="471">
        <f t="shared" si="10"/>
        <v>0</v>
      </c>
      <c r="N59" s="477" t="str">
        <f t="shared" si="11"/>
        <v/>
      </c>
      <c r="O59" s="470"/>
      <c r="P59" s="471"/>
      <c r="Q59" s="23"/>
      <c r="R59" s="27"/>
    </row>
    <row r="60" spans="1:18" x14ac:dyDescent="0.25">
      <c r="A60" s="907">
        <v>5115</v>
      </c>
      <c r="B60" s="472" t="s">
        <v>532</v>
      </c>
      <c r="C60" s="476">
        <v>1000</v>
      </c>
      <c r="D60" s="476">
        <v>1500</v>
      </c>
      <c r="E60" s="476">
        <v>1500</v>
      </c>
      <c r="K60" s="469">
        <f t="shared" si="8"/>
        <v>1605</v>
      </c>
      <c r="L60" s="496">
        <f t="shared" si="9"/>
        <v>1605</v>
      </c>
      <c r="M60" s="471">
        <f t="shared" si="10"/>
        <v>0</v>
      </c>
      <c r="N60" s="477" t="str">
        <f t="shared" si="11"/>
        <v/>
      </c>
      <c r="O60" s="470"/>
      <c r="P60" s="471"/>
      <c r="Q60" s="23"/>
      <c r="R60" s="27"/>
    </row>
    <row r="61" spans="1:18" hidden="1" x14ac:dyDescent="0.25">
      <c r="A61" s="907">
        <v>5124</v>
      </c>
      <c r="B61" s="472" t="s">
        <v>738</v>
      </c>
      <c r="C61" s="478">
        <v>3759.75</v>
      </c>
      <c r="D61" s="478"/>
      <c r="E61" s="478">
        <v>10668.63</v>
      </c>
      <c r="K61" s="469">
        <f t="shared" si="8"/>
        <v>0</v>
      </c>
      <c r="L61" s="496">
        <f t="shared" si="9"/>
        <v>0</v>
      </c>
      <c r="M61" s="471">
        <f t="shared" si="10"/>
        <v>0</v>
      </c>
      <c r="N61" s="477" t="str">
        <f t="shared" si="11"/>
        <v/>
      </c>
      <c r="O61" s="470"/>
      <c r="P61" s="471"/>
      <c r="Q61" s="23"/>
      <c r="R61" s="27"/>
    </row>
    <row r="62" spans="1:18" x14ac:dyDescent="0.25">
      <c r="A62" s="907">
        <v>5144</v>
      </c>
      <c r="B62" s="472" t="s">
        <v>157</v>
      </c>
      <c r="C62" s="478">
        <v>150</v>
      </c>
      <c r="D62" s="478"/>
      <c r="E62" s="478"/>
      <c r="K62" s="469">
        <f t="shared" si="8"/>
        <v>1100</v>
      </c>
      <c r="L62" s="496">
        <f t="shared" si="9"/>
        <v>300</v>
      </c>
      <c r="M62" s="471">
        <f t="shared" si="10"/>
        <v>-800</v>
      </c>
      <c r="N62" s="477">
        <f t="shared" si="11"/>
        <v>-0.72729999999999995</v>
      </c>
      <c r="O62" s="470" t="s">
        <v>1738</v>
      </c>
      <c r="P62" s="471"/>
      <c r="Q62" s="23"/>
      <c r="R62" s="27"/>
    </row>
    <row r="63" spans="1:18" x14ac:dyDescent="0.25">
      <c r="A63" s="907">
        <v>5248</v>
      </c>
      <c r="B63" s="472" t="s">
        <v>138</v>
      </c>
      <c r="C63" s="476"/>
      <c r="D63" s="476">
        <v>180.98</v>
      </c>
      <c r="E63" s="476">
        <v>152.24</v>
      </c>
      <c r="K63" s="475">
        <f t="shared" ref="K63:K73" si="12">+M18</f>
        <v>500</v>
      </c>
      <c r="L63" s="496">
        <f t="shared" ref="L63:L73" si="13">+O18</f>
        <v>800</v>
      </c>
      <c r="M63" s="471">
        <f t="shared" si="10"/>
        <v>300</v>
      </c>
      <c r="N63" s="477">
        <f t="shared" si="11"/>
        <v>0.6</v>
      </c>
      <c r="O63" s="470" t="s">
        <v>1820</v>
      </c>
      <c r="P63" s="471"/>
      <c r="Q63" s="23"/>
      <c r="R63" s="4"/>
    </row>
    <row r="64" spans="1:18" x14ac:dyDescent="0.25">
      <c r="A64" s="907">
        <v>5302</v>
      </c>
      <c r="B64" s="472" t="s">
        <v>151</v>
      </c>
      <c r="C64" s="476">
        <v>391</v>
      </c>
      <c r="D64" s="476">
        <v>1202.5</v>
      </c>
      <c r="E64" s="476">
        <v>630</v>
      </c>
      <c r="K64" s="475">
        <f t="shared" si="12"/>
        <v>10500</v>
      </c>
      <c r="L64" s="496">
        <f t="shared" si="13"/>
        <v>10500</v>
      </c>
      <c r="M64" s="471">
        <f t="shared" si="10"/>
        <v>0</v>
      </c>
      <c r="N64" s="477" t="str">
        <f t="shared" si="11"/>
        <v/>
      </c>
      <c r="O64" s="470"/>
      <c r="P64" s="471"/>
      <c r="Q64" s="23"/>
      <c r="R64" s="4"/>
    </row>
    <row r="65" spans="1:18" x14ac:dyDescent="0.25">
      <c r="A65" s="907">
        <v>5305</v>
      </c>
      <c r="B65" s="472" t="s">
        <v>148</v>
      </c>
      <c r="C65" s="476"/>
      <c r="D65" s="476">
        <v>0</v>
      </c>
      <c r="E65" s="476">
        <v>178.01</v>
      </c>
      <c r="K65" s="475">
        <f t="shared" si="12"/>
        <v>300</v>
      </c>
      <c r="L65" s="496">
        <f t="shared" si="13"/>
        <v>300</v>
      </c>
      <c r="M65" s="471">
        <f t="shared" si="10"/>
        <v>0</v>
      </c>
      <c r="N65" s="477" t="str">
        <f t="shared" si="11"/>
        <v/>
      </c>
      <c r="O65" s="470"/>
      <c r="P65" s="471"/>
      <c r="Q65" s="23"/>
      <c r="R65" s="4"/>
    </row>
    <row r="66" spans="1:18" x14ac:dyDescent="0.25">
      <c r="A66" s="907">
        <v>5306</v>
      </c>
      <c r="B66" s="472" t="s">
        <v>21</v>
      </c>
      <c r="C66" s="476">
        <f>2000+4725</f>
        <v>6725</v>
      </c>
      <c r="D66" s="476">
        <f>2000+4955</f>
        <v>6955</v>
      </c>
      <c r="E66" s="476">
        <f>2000+4955</f>
        <v>6955</v>
      </c>
      <c r="K66" s="475">
        <f t="shared" si="12"/>
        <v>8600</v>
      </c>
      <c r="L66" s="496">
        <f t="shared" si="13"/>
        <v>9160</v>
      </c>
      <c r="M66" s="471">
        <f t="shared" si="10"/>
        <v>560</v>
      </c>
      <c r="N66" s="477">
        <f t="shared" si="11"/>
        <v>6.5100000000000005E-2</v>
      </c>
      <c r="O66" s="470" t="s">
        <v>1821</v>
      </c>
      <c r="P66" s="471"/>
      <c r="Q66" s="23"/>
      <c r="R66" s="4"/>
    </row>
    <row r="67" spans="1:18" x14ac:dyDescent="0.25">
      <c r="A67" s="907">
        <v>5307</v>
      </c>
      <c r="B67" s="472" t="s">
        <v>862</v>
      </c>
      <c r="C67" s="476"/>
      <c r="D67" s="476"/>
      <c r="E67" s="476"/>
      <c r="K67" s="475">
        <f t="shared" si="12"/>
        <v>1900</v>
      </c>
      <c r="L67" s="496">
        <f t="shared" si="13"/>
        <v>1900</v>
      </c>
      <c r="M67" s="471">
        <f t="shared" si="10"/>
        <v>0</v>
      </c>
      <c r="N67" s="477" t="str">
        <f t="shared" si="11"/>
        <v/>
      </c>
      <c r="O67" s="470"/>
      <c r="P67" s="471"/>
      <c r="Q67" s="23"/>
      <c r="R67" s="4"/>
    </row>
    <row r="68" spans="1:18" x14ac:dyDescent="0.25">
      <c r="A68" s="907">
        <v>5308</v>
      </c>
      <c r="B68" s="472" t="s">
        <v>607</v>
      </c>
      <c r="C68" s="476">
        <f>2000+4900</f>
        <v>6900</v>
      </c>
      <c r="D68" s="476">
        <v>6900</v>
      </c>
      <c r="E68" s="476">
        <v>6900</v>
      </c>
      <c r="K68" s="475">
        <f t="shared" si="12"/>
        <v>5800</v>
      </c>
      <c r="L68" s="496">
        <f t="shared" si="13"/>
        <v>5800</v>
      </c>
      <c r="M68" s="471">
        <f t="shared" si="10"/>
        <v>0</v>
      </c>
      <c r="N68" s="477" t="str">
        <f t="shared" si="11"/>
        <v/>
      </c>
      <c r="O68" s="470"/>
      <c r="P68" s="471"/>
      <c r="Q68" s="23"/>
      <c r="R68" s="4"/>
    </row>
    <row r="69" spans="1:18" x14ac:dyDescent="0.25">
      <c r="A69" s="907">
        <v>5311</v>
      </c>
      <c r="B69" s="472" t="s">
        <v>152</v>
      </c>
      <c r="C69" s="476">
        <v>86</v>
      </c>
      <c r="D69" s="476">
        <v>94</v>
      </c>
      <c r="E69" s="476">
        <v>17</v>
      </c>
      <c r="K69" s="475">
        <f t="shared" si="12"/>
        <v>100</v>
      </c>
      <c r="L69" s="496">
        <f t="shared" si="13"/>
        <v>100</v>
      </c>
      <c r="M69" s="471">
        <f t="shared" si="10"/>
        <v>0</v>
      </c>
      <c r="N69" s="477" t="str">
        <f t="shared" si="11"/>
        <v/>
      </c>
      <c r="O69" s="470"/>
      <c r="P69" s="471"/>
      <c r="Q69" s="23"/>
      <c r="R69" s="4"/>
    </row>
    <row r="70" spans="1:18" x14ac:dyDescent="0.25">
      <c r="A70" s="907">
        <v>5314</v>
      </c>
      <c r="B70" s="472" t="s">
        <v>139</v>
      </c>
      <c r="C70" s="476">
        <v>2071</v>
      </c>
      <c r="D70" s="476">
        <v>1328.75</v>
      </c>
      <c r="E70" s="476">
        <v>724.97</v>
      </c>
      <c r="K70" s="475">
        <f t="shared" si="12"/>
        <v>2200</v>
      </c>
      <c r="L70" s="496">
        <f t="shared" si="13"/>
        <v>3500</v>
      </c>
      <c r="M70" s="471">
        <f t="shared" si="10"/>
        <v>1300</v>
      </c>
      <c r="N70" s="477">
        <f t="shared" si="11"/>
        <v>0.59089999999999998</v>
      </c>
      <c r="O70" s="470" t="s">
        <v>1819</v>
      </c>
      <c r="P70" s="471"/>
      <c r="Q70" s="23"/>
      <c r="R70" s="4"/>
    </row>
    <row r="71" spans="1:18" x14ac:dyDescent="0.25">
      <c r="A71" s="907">
        <v>5315</v>
      </c>
      <c r="B71" s="472" t="s">
        <v>140</v>
      </c>
      <c r="C71" s="476">
        <v>2356.9</v>
      </c>
      <c r="D71" s="476"/>
      <c r="E71" s="476"/>
      <c r="K71" s="475">
        <f t="shared" si="12"/>
        <v>15776</v>
      </c>
      <c r="L71" s="496">
        <f t="shared" si="13"/>
        <v>15800</v>
      </c>
      <c r="M71" s="471">
        <f t="shared" si="10"/>
        <v>24</v>
      </c>
      <c r="N71" s="477">
        <f t="shared" si="11"/>
        <v>1.5E-3</v>
      </c>
      <c r="O71" s="470"/>
      <c r="P71" s="471"/>
      <c r="Q71" s="23"/>
      <c r="R71" s="4"/>
    </row>
    <row r="72" spans="1:18" hidden="1" x14ac:dyDescent="0.25">
      <c r="A72" s="907">
        <v>5341</v>
      </c>
      <c r="B72" s="472" t="s">
        <v>141</v>
      </c>
      <c r="C72" s="476">
        <v>537.27</v>
      </c>
      <c r="D72" s="476">
        <v>473.76</v>
      </c>
      <c r="E72" s="476">
        <v>473.24</v>
      </c>
      <c r="K72" s="475">
        <f t="shared" si="12"/>
        <v>0</v>
      </c>
      <c r="L72" s="496">
        <f t="shared" si="13"/>
        <v>0</v>
      </c>
      <c r="M72" s="471">
        <f t="shared" si="10"/>
        <v>0</v>
      </c>
      <c r="N72" s="477" t="str">
        <f t="shared" si="11"/>
        <v/>
      </c>
      <c r="O72" s="470"/>
      <c r="P72" s="471"/>
      <c r="Q72" s="23"/>
      <c r="R72" s="4"/>
    </row>
    <row r="73" spans="1:18" x14ac:dyDescent="0.25">
      <c r="A73" s="907">
        <v>5316</v>
      </c>
      <c r="B73" s="472" t="s">
        <v>1737</v>
      </c>
      <c r="C73" s="476"/>
      <c r="D73" s="476"/>
      <c r="E73" s="476"/>
      <c r="K73" s="475">
        <f t="shared" si="12"/>
        <v>0</v>
      </c>
      <c r="L73" s="496">
        <f t="shared" si="13"/>
        <v>11130</v>
      </c>
      <c r="M73" s="471">
        <f t="shared" ref="M73" si="14">+L73-K73</f>
        <v>11130</v>
      </c>
      <c r="N73" s="477">
        <f t="shared" ref="N73" si="15">IF(K73+L73&lt;&gt;0,IF(K73&lt;&gt;0,IF(M73&lt;&gt;0,ROUND((+M73/K73),4),""),1),"")</f>
        <v>1</v>
      </c>
      <c r="O73" s="470" t="s">
        <v>1739</v>
      </c>
      <c r="P73" s="471"/>
      <c r="Q73" s="23"/>
      <c r="R73" s="4"/>
    </row>
    <row r="74" spans="1:18" x14ac:dyDescent="0.25">
      <c r="A74" s="907">
        <v>5344</v>
      </c>
      <c r="B74" s="472" t="s">
        <v>142</v>
      </c>
      <c r="C74" s="476">
        <v>759.81</v>
      </c>
      <c r="D74" s="476">
        <v>509.12</v>
      </c>
      <c r="E74" s="476">
        <v>515.99</v>
      </c>
      <c r="K74" s="475">
        <f t="shared" ref="K74:K81" si="16">+M29</f>
        <v>900</v>
      </c>
      <c r="L74" s="496">
        <f t="shared" ref="L74:L81" si="17">+O29</f>
        <v>900</v>
      </c>
      <c r="M74" s="471">
        <f t="shared" si="10"/>
        <v>0</v>
      </c>
      <c r="N74" s="477" t="str">
        <f t="shared" si="11"/>
        <v/>
      </c>
      <c r="O74" s="470"/>
      <c r="P74" s="471"/>
      <c r="Q74" s="23"/>
      <c r="R74" s="4"/>
    </row>
    <row r="75" spans="1:18" x14ac:dyDescent="0.25">
      <c r="A75" s="907">
        <v>5345</v>
      </c>
      <c r="B75" s="472" t="s">
        <v>143</v>
      </c>
      <c r="C75" s="468">
        <v>178.85</v>
      </c>
      <c r="D75" s="468"/>
      <c r="E75" s="468">
        <v>6257.19</v>
      </c>
      <c r="K75" s="475">
        <f t="shared" si="16"/>
        <v>400</v>
      </c>
      <c r="L75" s="496">
        <f t="shared" si="17"/>
        <v>400</v>
      </c>
      <c r="M75" s="471">
        <f t="shared" si="10"/>
        <v>0</v>
      </c>
      <c r="N75" s="477" t="str">
        <f t="shared" si="11"/>
        <v/>
      </c>
      <c r="O75" s="470"/>
      <c r="P75" s="471"/>
      <c r="Q75" s="23"/>
      <c r="R75" s="4"/>
    </row>
    <row r="76" spans="1:18" x14ac:dyDescent="0.25">
      <c r="A76" s="907">
        <v>5350</v>
      </c>
      <c r="B76" s="472" t="s">
        <v>1294</v>
      </c>
      <c r="C76" s="468"/>
      <c r="D76" s="468"/>
      <c r="E76" s="468"/>
      <c r="K76" s="475">
        <f t="shared" si="16"/>
        <v>1500</v>
      </c>
      <c r="L76" s="496">
        <f t="shared" si="17"/>
        <v>1500</v>
      </c>
      <c r="M76" s="471">
        <f t="shared" si="10"/>
        <v>0</v>
      </c>
      <c r="N76" s="477" t="str">
        <f t="shared" si="11"/>
        <v/>
      </c>
      <c r="O76" s="470"/>
      <c r="P76" s="471"/>
      <c r="Q76" s="23"/>
      <c r="R76" s="4"/>
    </row>
    <row r="77" spans="1:18" x14ac:dyDescent="0.25">
      <c r="A77" s="907">
        <v>5380</v>
      </c>
      <c r="B77" s="472" t="s">
        <v>541</v>
      </c>
      <c r="C77" s="476"/>
      <c r="D77" s="476">
        <v>906.15</v>
      </c>
      <c r="E77" s="476">
        <v>1125.5</v>
      </c>
      <c r="K77" s="475">
        <f t="shared" si="16"/>
        <v>4500</v>
      </c>
      <c r="L77" s="496">
        <f t="shared" si="17"/>
        <v>4500</v>
      </c>
      <c r="M77" s="471">
        <f t="shared" si="10"/>
        <v>0</v>
      </c>
      <c r="N77" s="477" t="str">
        <f t="shared" si="11"/>
        <v/>
      </c>
      <c r="O77" s="470"/>
      <c r="P77" s="471"/>
      <c r="Q77" s="23"/>
      <c r="R77" s="4"/>
    </row>
    <row r="78" spans="1:18" x14ac:dyDescent="0.25">
      <c r="A78" s="907">
        <v>5420</v>
      </c>
      <c r="B78" s="472" t="s">
        <v>144</v>
      </c>
      <c r="C78" s="468">
        <v>1160.76</v>
      </c>
      <c r="D78" s="468">
        <v>1173.71</v>
      </c>
      <c r="E78" s="468">
        <v>1294.46</v>
      </c>
      <c r="K78" s="475">
        <f t="shared" si="16"/>
        <v>1000</v>
      </c>
      <c r="L78" s="496">
        <f t="shared" si="17"/>
        <v>1000</v>
      </c>
      <c r="M78" s="471">
        <f t="shared" si="10"/>
        <v>0</v>
      </c>
      <c r="N78" s="477" t="str">
        <f t="shared" si="11"/>
        <v/>
      </c>
      <c r="O78" s="470"/>
      <c r="P78" s="471"/>
      <c r="Q78" s="23"/>
      <c r="R78" s="4"/>
    </row>
    <row r="79" spans="1:18" x14ac:dyDescent="0.25">
      <c r="A79" s="907">
        <v>5581</v>
      </c>
      <c r="B79" s="472" t="s">
        <v>146</v>
      </c>
      <c r="C79" s="476">
        <v>591.6</v>
      </c>
      <c r="D79" s="476">
        <v>721</v>
      </c>
      <c r="E79" s="476">
        <v>771</v>
      </c>
      <c r="K79" s="475">
        <f t="shared" si="16"/>
        <v>250</v>
      </c>
      <c r="L79" s="496">
        <f t="shared" si="17"/>
        <v>150</v>
      </c>
      <c r="M79" s="471">
        <f t="shared" si="10"/>
        <v>-100</v>
      </c>
      <c r="N79" s="477">
        <f t="shared" si="11"/>
        <v>-0.4</v>
      </c>
      <c r="O79" s="470"/>
      <c r="P79" s="471"/>
      <c r="Q79" s="23"/>
      <c r="R79" s="4"/>
    </row>
    <row r="80" spans="1:18" x14ac:dyDescent="0.25">
      <c r="A80" s="907">
        <v>5710</v>
      </c>
      <c r="B80" s="472" t="s">
        <v>535</v>
      </c>
      <c r="C80" s="468">
        <v>1600.96</v>
      </c>
      <c r="D80" s="468">
        <v>2086.83</v>
      </c>
      <c r="E80" s="468">
        <v>455.03</v>
      </c>
      <c r="K80" s="475">
        <f t="shared" si="16"/>
        <v>2000</v>
      </c>
      <c r="L80" s="496">
        <f t="shared" si="17"/>
        <v>2200</v>
      </c>
      <c r="M80" s="471">
        <f t="shared" si="10"/>
        <v>200</v>
      </c>
      <c r="N80" s="477">
        <f t="shared" si="11"/>
        <v>0.1</v>
      </c>
      <c r="O80" s="470"/>
      <c r="P80" s="471"/>
      <c r="Q80" s="23"/>
      <c r="R80" s="4"/>
    </row>
    <row r="81" spans="1:18" ht="13.8" thickBot="1" x14ac:dyDescent="0.3">
      <c r="A81" s="907">
        <v>5730</v>
      </c>
      <c r="B81" s="472" t="s">
        <v>147</v>
      </c>
      <c r="C81" s="474">
        <v>225</v>
      </c>
      <c r="D81" s="474">
        <v>360</v>
      </c>
      <c r="E81" s="474">
        <v>325</v>
      </c>
      <c r="K81" s="475">
        <f t="shared" si="16"/>
        <v>425</v>
      </c>
      <c r="L81" s="496">
        <f t="shared" si="17"/>
        <v>425</v>
      </c>
      <c r="M81" s="471">
        <f t="shared" si="10"/>
        <v>0</v>
      </c>
      <c r="N81" s="477" t="str">
        <f t="shared" si="11"/>
        <v/>
      </c>
      <c r="O81" s="470"/>
      <c r="P81" s="471"/>
      <c r="Q81" s="23"/>
      <c r="R81" s="4"/>
    </row>
    <row r="82" spans="1:18" x14ac:dyDescent="0.25">
      <c r="A82" s="876"/>
      <c r="B82" s="4"/>
      <c r="C82" s="23"/>
      <c r="D82" s="23"/>
      <c r="E82" s="23"/>
      <c r="F82" s="23"/>
      <c r="G82" s="23"/>
      <c r="K82" s="23"/>
      <c r="L82" s="23"/>
      <c r="M82" s="23"/>
      <c r="N82" s="4"/>
      <c r="O82" s="23"/>
      <c r="P82" s="23"/>
      <c r="Q82" s="23"/>
      <c r="R82" s="4"/>
    </row>
    <row r="83" spans="1:18" x14ac:dyDescent="0.25">
      <c r="A83" s="876"/>
      <c r="B83" s="4" t="s">
        <v>1363</v>
      </c>
      <c r="C83" s="23"/>
      <c r="D83" s="23"/>
      <c r="E83" s="23"/>
      <c r="F83" s="23"/>
      <c r="G83" s="23"/>
      <c r="K83" s="742">
        <f>SUM(K57:K81)</f>
        <v>179761</v>
      </c>
      <c r="L83" s="742">
        <f>SUM(L57:L81)</f>
        <v>187261</v>
      </c>
      <c r="M83" s="202">
        <f>+L83-K83</f>
        <v>7500</v>
      </c>
      <c r="N83" s="743">
        <f>IF(K83+L83&lt;&gt;0,IF(K83&lt;&gt;0,IF(M83&lt;&gt;0,ROUND((+M83/K83),4),""),1),"")</f>
        <v>4.1700000000000001E-2</v>
      </c>
      <c r="O83" s="23"/>
      <c r="P83" s="23"/>
      <c r="Q83" s="23"/>
      <c r="R83" s="4"/>
    </row>
    <row r="84" spans="1:18" x14ac:dyDescent="0.25">
      <c r="A84" s="876" t="s">
        <v>1154</v>
      </c>
      <c r="B84" s="4"/>
      <c r="C84" s="23"/>
      <c r="D84" s="23"/>
      <c r="E84" s="23"/>
      <c r="F84" s="23"/>
      <c r="G84" s="23"/>
      <c r="H84" s="23"/>
      <c r="I84" s="23"/>
      <c r="J84" s="23"/>
      <c r="K84" s="23"/>
      <c r="L84" s="23"/>
      <c r="M84" s="23"/>
      <c r="N84" s="4"/>
      <c r="O84" s="23"/>
      <c r="P84" s="23"/>
      <c r="Q84" s="23"/>
      <c r="R84" s="4"/>
    </row>
    <row r="85" spans="1:18" ht="14.4" x14ac:dyDescent="0.25">
      <c r="A85" s="941" t="s">
        <v>1157</v>
      </c>
      <c r="B85" s="4"/>
      <c r="C85" s="23"/>
      <c r="D85" s="23"/>
      <c r="E85" s="23"/>
      <c r="F85" s="23"/>
      <c r="G85" s="23"/>
      <c r="H85" s="23"/>
      <c r="I85" s="23"/>
      <c r="J85" s="23"/>
      <c r="K85" s="23"/>
      <c r="L85" s="23"/>
      <c r="M85" s="23"/>
      <c r="N85" s="4"/>
      <c r="O85" s="23"/>
      <c r="P85" s="23"/>
      <c r="Q85" s="23"/>
      <c r="R85" s="4"/>
    </row>
    <row r="86" spans="1:18" x14ac:dyDescent="0.25">
      <c r="A86" s="876">
        <v>1</v>
      </c>
      <c r="B86" s="4" t="s">
        <v>1173</v>
      </c>
      <c r="C86" s="23"/>
      <c r="D86" s="23"/>
      <c r="E86" s="23"/>
      <c r="F86" s="23"/>
      <c r="G86" s="23"/>
      <c r="H86" s="23"/>
      <c r="I86" s="23"/>
      <c r="J86" s="23"/>
      <c r="K86" s="23"/>
      <c r="L86" s="23"/>
      <c r="M86" s="23"/>
      <c r="N86" s="4"/>
      <c r="O86" s="23"/>
      <c r="P86" s="23"/>
      <c r="Q86" s="23"/>
      <c r="R86" s="4"/>
    </row>
    <row r="87" spans="1:18" x14ac:dyDescent="0.25">
      <c r="A87" s="876">
        <v>2</v>
      </c>
      <c r="B87" s="4" t="s">
        <v>1158</v>
      </c>
      <c r="C87" s="23"/>
      <c r="D87" s="23"/>
      <c r="E87" s="23"/>
      <c r="F87" s="23"/>
      <c r="G87" s="23"/>
      <c r="H87" s="23"/>
      <c r="I87" s="23"/>
      <c r="J87" s="23"/>
      <c r="K87" s="23"/>
      <c r="L87" s="23"/>
      <c r="M87" s="23"/>
      <c r="N87" s="4"/>
      <c r="O87" s="23"/>
      <c r="P87" s="23"/>
      <c r="Q87" s="23"/>
      <c r="R87" s="4"/>
    </row>
    <row r="88" spans="1:18" x14ac:dyDescent="0.25">
      <c r="A88" s="876"/>
      <c r="B88" s="4" t="s">
        <v>1159</v>
      </c>
      <c r="C88" s="23"/>
      <c r="D88" s="23"/>
      <c r="E88" s="23"/>
      <c r="F88" s="23"/>
      <c r="G88" s="23"/>
      <c r="H88" s="23"/>
      <c r="I88" s="23"/>
      <c r="J88" s="23"/>
      <c r="K88" s="23"/>
      <c r="L88" s="23"/>
      <c r="M88" s="23"/>
      <c r="N88" s="4"/>
      <c r="O88" s="23"/>
      <c r="P88" s="23"/>
      <c r="Q88" s="23"/>
      <c r="R88" s="4"/>
    </row>
    <row r="89" spans="1:18" x14ac:dyDescent="0.25">
      <c r="A89" s="876"/>
      <c r="B89" s="4" t="s">
        <v>1160</v>
      </c>
      <c r="C89" s="23"/>
      <c r="D89" s="23"/>
      <c r="E89" s="23"/>
      <c r="F89" s="23"/>
      <c r="G89" s="23"/>
      <c r="H89" s="23"/>
      <c r="I89" s="23"/>
      <c r="J89" s="23"/>
      <c r="K89" s="23"/>
      <c r="L89" s="23"/>
      <c r="M89" s="23"/>
      <c r="N89" s="4"/>
      <c r="O89" s="23"/>
      <c r="P89" s="23"/>
      <c r="Q89" s="23"/>
      <c r="R89" s="4"/>
    </row>
    <row r="90" spans="1:18" x14ac:dyDescent="0.25">
      <c r="A90" s="876">
        <v>3</v>
      </c>
      <c r="B90" s="4" t="s">
        <v>1161</v>
      </c>
      <c r="C90" s="23"/>
      <c r="D90" s="23"/>
      <c r="E90" s="23"/>
      <c r="F90" s="23"/>
      <c r="G90" s="23"/>
      <c r="H90" s="23"/>
      <c r="I90" s="23"/>
      <c r="J90" s="23"/>
      <c r="K90" s="23"/>
      <c r="L90" s="23"/>
      <c r="M90" s="23"/>
      <c r="N90" s="4"/>
      <c r="O90" s="23"/>
      <c r="P90" s="23"/>
      <c r="Q90" s="23"/>
      <c r="R90" s="4"/>
    </row>
    <row r="91" spans="1:18" x14ac:dyDescent="0.25">
      <c r="A91" s="876">
        <v>4</v>
      </c>
      <c r="B91" s="4" t="s">
        <v>1162</v>
      </c>
      <c r="C91" s="23"/>
      <c r="D91" s="23"/>
      <c r="E91" s="23"/>
      <c r="F91" s="23"/>
      <c r="G91" s="23"/>
      <c r="H91" s="23"/>
      <c r="I91" s="23"/>
      <c r="J91" s="23"/>
      <c r="K91" s="23"/>
      <c r="L91" s="23"/>
      <c r="M91" s="23"/>
      <c r="N91" s="4"/>
      <c r="O91" s="23"/>
      <c r="P91" s="23"/>
      <c r="Q91" s="23"/>
      <c r="R91" s="4"/>
    </row>
    <row r="92" spans="1:18" x14ac:dyDescent="0.25">
      <c r="A92" s="876">
        <v>5</v>
      </c>
      <c r="B92" s="4" t="s">
        <v>1163</v>
      </c>
      <c r="C92" s="23"/>
      <c r="D92" s="23"/>
      <c r="E92" s="23"/>
      <c r="F92" s="23"/>
      <c r="G92" s="23"/>
      <c r="H92" s="23"/>
      <c r="I92" s="23"/>
      <c r="J92" s="23"/>
      <c r="K92" s="23"/>
      <c r="L92" s="23"/>
      <c r="M92" s="23"/>
      <c r="N92" s="4"/>
      <c r="O92" s="23"/>
      <c r="P92" s="23"/>
      <c r="Q92" s="23"/>
      <c r="R92" s="4"/>
    </row>
    <row r="93" spans="1:18" x14ac:dyDescent="0.25">
      <c r="A93" s="876">
        <v>6</v>
      </c>
      <c r="B93" s="4" t="s">
        <v>1164</v>
      </c>
      <c r="C93" s="23"/>
      <c r="D93" s="23"/>
      <c r="E93" s="23"/>
      <c r="F93" s="23"/>
      <c r="G93" s="23"/>
      <c r="H93" s="23"/>
      <c r="I93" s="23"/>
      <c r="J93" s="23"/>
      <c r="K93" s="23"/>
      <c r="L93" s="23"/>
      <c r="M93" s="23"/>
      <c r="N93" s="4"/>
      <c r="O93" s="23"/>
      <c r="P93" s="23"/>
      <c r="Q93" s="23"/>
      <c r="R93" s="4"/>
    </row>
    <row r="94" spans="1:18" x14ac:dyDescent="0.25">
      <c r="A94" s="876">
        <v>7</v>
      </c>
      <c r="B94" s="4" t="s">
        <v>1165</v>
      </c>
      <c r="C94" s="23"/>
      <c r="D94" s="23"/>
      <c r="E94" s="23"/>
      <c r="F94" s="23"/>
      <c r="G94" s="23"/>
      <c r="H94" s="23"/>
      <c r="I94" s="23"/>
      <c r="J94" s="23"/>
      <c r="K94" s="23"/>
      <c r="L94" s="23"/>
      <c r="M94" s="23"/>
      <c r="N94" s="4"/>
      <c r="O94" s="23"/>
      <c r="P94" s="23"/>
      <c r="Q94" s="23"/>
      <c r="R94" s="4"/>
    </row>
    <row r="95" spans="1:18" x14ac:dyDescent="0.25">
      <c r="A95" s="876">
        <v>8</v>
      </c>
      <c r="B95" s="4" t="s">
        <v>1166</v>
      </c>
      <c r="C95" s="23"/>
      <c r="D95" s="23"/>
      <c r="E95" s="23"/>
      <c r="F95" s="23"/>
      <c r="G95" s="23"/>
      <c r="H95" s="23"/>
      <c r="I95" s="23"/>
      <c r="J95" s="23"/>
      <c r="K95" s="23"/>
      <c r="L95" s="23"/>
      <c r="M95" s="23"/>
      <c r="N95" s="4"/>
      <c r="O95" s="23"/>
      <c r="P95" s="23"/>
      <c r="Q95" s="23"/>
      <c r="R95" s="4"/>
    </row>
    <row r="96" spans="1:18" x14ac:dyDescent="0.25">
      <c r="A96" s="876">
        <v>9</v>
      </c>
      <c r="B96" s="4" t="s">
        <v>1167</v>
      </c>
      <c r="C96" s="23"/>
      <c r="D96" s="23"/>
      <c r="E96" s="23"/>
      <c r="F96" s="23"/>
      <c r="G96" s="23"/>
      <c r="H96" s="23"/>
      <c r="I96" s="23"/>
      <c r="J96" s="23"/>
      <c r="K96" s="23"/>
      <c r="L96" s="23"/>
      <c r="M96" s="23"/>
      <c r="N96" s="4"/>
      <c r="O96" s="23"/>
      <c r="P96" s="23"/>
      <c r="Q96" s="23"/>
      <c r="R96" s="4"/>
    </row>
    <row r="97" spans="1:18" x14ac:dyDescent="0.25">
      <c r="A97" s="876">
        <v>10</v>
      </c>
      <c r="B97" s="4" t="s">
        <v>1168</v>
      </c>
      <c r="C97" s="23"/>
      <c r="D97" s="23"/>
      <c r="E97" s="23"/>
      <c r="F97" s="23"/>
      <c r="G97" s="23"/>
      <c r="H97" s="23"/>
      <c r="I97" s="23"/>
      <c r="J97" s="23"/>
      <c r="K97" s="23"/>
      <c r="L97" s="23"/>
      <c r="M97" s="23"/>
      <c r="N97" s="4"/>
      <c r="O97" s="23"/>
      <c r="P97" s="23"/>
      <c r="Q97" s="23"/>
      <c r="R97" s="4"/>
    </row>
    <row r="98" spans="1:18" x14ac:dyDescent="0.25">
      <c r="A98" s="876">
        <v>11</v>
      </c>
      <c r="B98" s="4" t="s">
        <v>1169</v>
      </c>
      <c r="C98" s="23"/>
      <c r="D98" s="23"/>
      <c r="E98" s="23"/>
      <c r="F98" s="23"/>
      <c r="G98" s="23"/>
      <c r="H98" s="23"/>
      <c r="I98" s="23"/>
      <c r="J98" s="23"/>
      <c r="K98" s="23"/>
      <c r="L98" s="23"/>
      <c r="M98" s="23"/>
      <c r="N98" s="4"/>
      <c r="O98" s="23"/>
      <c r="P98" s="23"/>
      <c r="Q98" s="23"/>
      <c r="R98" s="4"/>
    </row>
    <row r="99" spans="1:18" x14ac:dyDescent="0.25">
      <c r="A99" s="876">
        <v>12</v>
      </c>
      <c r="B99" s="4" t="s">
        <v>1170</v>
      </c>
      <c r="C99" s="23"/>
      <c r="D99" s="23"/>
      <c r="E99" s="23"/>
      <c r="F99" s="23"/>
      <c r="G99" s="23"/>
      <c r="H99" s="23"/>
      <c r="I99" s="23"/>
      <c r="J99" s="23"/>
      <c r="K99" s="23"/>
      <c r="L99" s="23"/>
      <c r="M99" s="23"/>
      <c r="N99" s="4"/>
      <c r="O99" s="23"/>
      <c r="P99" s="23"/>
      <c r="Q99" s="23"/>
      <c r="R99" s="4"/>
    </row>
    <row r="100" spans="1:18" x14ac:dyDescent="0.25">
      <c r="A100" s="876">
        <v>13</v>
      </c>
      <c r="B100" s="4" t="s">
        <v>1171</v>
      </c>
      <c r="C100" s="23"/>
      <c r="D100" s="23"/>
      <c r="E100" s="23"/>
      <c r="F100" s="23"/>
      <c r="G100" s="23"/>
      <c r="H100" s="23"/>
      <c r="I100" s="23"/>
      <c r="J100" s="23"/>
      <c r="K100" s="23"/>
      <c r="L100" s="23"/>
      <c r="M100" s="23"/>
      <c r="N100" s="4"/>
      <c r="O100" s="23"/>
      <c r="P100" s="23"/>
      <c r="Q100" s="23"/>
      <c r="R100" s="4"/>
    </row>
    <row r="101" spans="1:18" x14ac:dyDescent="0.25">
      <c r="A101" s="876">
        <v>14</v>
      </c>
      <c r="B101" s="4" t="s">
        <v>1172</v>
      </c>
      <c r="C101" s="23"/>
      <c r="D101" s="23"/>
      <c r="E101" s="23"/>
      <c r="F101" s="23"/>
      <c r="G101" s="23"/>
      <c r="H101" s="23"/>
      <c r="I101" s="23"/>
      <c r="J101" s="23"/>
      <c r="K101" s="23"/>
      <c r="L101" s="23"/>
      <c r="M101" s="23"/>
      <c r="N101" s="4"/>
      <c r="O101" s="23"/>
      <c r="P101" s="23"/>
      <c r="Q101" s="23"/>
      <c r="R101" s="4"/>
    </row>
    <row r="102" spans="1:18" x14ac:dyDescent="0.25">
      <c r="A102" s="876">
        <v>15</v>
      </c>
      <c r="B102" s="4" t="s">
        <v>1185</v>
      </c>
      <c r="C102" s="23"/>
      <c r="D102" s="23"/>
      <c r="E102" s="23"/>
      <c r="F102" s="23"/>
      <c r="G102" s="23"/>
      <c r="H102" s="23"/>
      <c r="I102" s="23"/>
      <c r="J102" s="23"/>
      <c r="K102" s="23"/>
      <c r="L102" s="23"/>
      <c r="M102" s="23"/>
      <c r="N102" s="4"/>
      <c r="O102" s="23"/>
      <c r="P102" s="23"/>
      <c r="Q102" s="23"/>
      <c r="R102" s="4"/>
    </row>
    <row r="103" spans="1:18" x14ac:dyDescent="0.25">
      <c r="A103" s="876"/>
      <c r="B103" s="4"/>
      <c r="C103" s="23"/>
      <c r="D103" s="23"/>
      <c r="E103" s="23"/>
      <c r="F103" s="23"/>
      <c r="G103" s="23"/>
      <c r="H103" s="23"/>
      <c r="I103" s="23"/>
      <c r="J103" s="23"/>
      <c r="K103" s="23"/>
      <c r="L103" s="23"/>
      <c r="M103" s="23"/>
      <c r="N103" s="4"/>
      <c r="O103" s="23"/>
      <c r="P103" s="23"/>
      <c r="Q103" s="23"/>
      <c r="R103" s="4"/>
    </row>
    <row r="104" spans="1:18" x14ac:dyDescent="0.25">
      <c r="A104" s="876"/>
      <c r="B104" s="4"/>
      <c r="C104" s="23"/>
      <c r="D104" s="23"/>
      <c r="E104" s="23"/>
      <c r="F104" s="23"/>
      <c r="G104" s="23"/>
      <c r="H104" s="23"/>
      <c r="I104" s="23"/>
      <c r="J104" s="23"/>
      <c r="K104" s="23"/>
      <c r="L104" s="23"/>
      <c r="M104" s="23"/>
      <c r="N104" s="4"/>
      <c r="O104" s="23"/>
      <c r="P104" s="23"/>
      <c r="Q104" s="23"/>
      <c r="R104" s="4"/>
    </row>
    <row r="105" spans="1:18" x14ac:dyDescent="0.25">
      <c r="A105" s="876"/>
      <c r="B105" s="4"/>
      <c r="C105" s="23"/>
      <c r="D105" s="23"/>
      <c r="E105" s="23"/>
      <c r="F105" s="23"/>
      <c r="G105" s="23"/>
      <c r="H105" s="23"/>
      <c r="I105" s="23"/>
      <c r="J105" s="23"/>
      <c r="K105" s="23"/>
      <c r="L105" s="23"/>
      <c r="M105" s="23"/>
      <c r="N105" s="4"/>
      <c r="O105" s="23"/>
      <c r="P105" s="23"/>
      <c r="Q105" s="23"/>
      <c r="R105" s="4"/>
    </row>
    <row r="106" spans="1:18" x14ac:dyDescent="0.25">
      <c r="A106" s="876"/>
      <c r="B106" s="4"/>
      <c r="C106" s="23"/>
      <c r="D106" s="23"/>
      <c r="E106" s="23"/>
      <c r="F106" s="23"/>
      <c r="G106" s="23"/>
      <c r="H106" s="23"/>
      <c r="I106" s="23"/>
      <c r="J106" s="23"/>
      <c r="K106" s="23"/>
      <c r="L106" s="23"/>
      <c r="M106" s="23"/>
      <c r="N106" s="4"/>
      <c r="O106" s="23"/>
      <c r="P106" s="23"/>
      <c r="Q106" s="23"/>
      <c r="R106" s="4"/>
    </row>
    <row r="107" spans="1:18" x14ac:dyDescent="0.25">
      <c r="A107" s="876"/>
      <c r="B107" s="4"/>
      <c r="C107" s="23"/>
      <c r="D107" s="23"/>
      <c r="E107" s="23"/>
      <c r="F107" s="23"/>
      <c r="G107" s="23"/>
      <c r="H107" s="23"/>
      <c r="I107" s="23"/>
      <c r="J107" s="23"/>
      <c r="K107" s="23"/>
      <c r="L107" s="23"/>
      <c r="M107" s="23"/>
      <c r="N107" s="4"/>
      <c r="O107" s="23"/>
      <c r="P107" s="23"/>
      <c r="Q107" s="23"/>
      <c r="R107" s="4"/>
    </row>
    <row r="108" spans="1:18" x14ac:dyDescent="0.25">
      <c r="A108" s="876"/>
      <c r="B108" s="4"/>
      <c r="C108" s="23"/>
      <c r="D108" s="23"/>
      <c r="E108" s="23"/>
      <c r="F108" s="23"/>
      <c r="G108" s="23"/>
      <c r="H108" s="23"/>
      <c r="I108" s="23"/>
      <c r="J108" s="23"/>
      <c r="K108" s="23"/>
      <c r="L108" s="23"/>
      <c r="M108" s="23"/>
      <c r="N108" s="4"/>
      <c r="O108" s="23"/>
      <c r="P108" s="23"/>
      <c r="Q108" s="23"/>
      <c r="R108" s="4"/>
    </row>
    <row r="109" spans="1:18" x14ac:dyDescent="0.25">
      <c r="A109" s="876"/>
      <c r="B109" s="4"/>
      <c r="C109" s="23"/>
      <c r="D109" s="23"/>
      <c r="E109" s="23"/>
      <c r="F109" s="23"/>
      <c r="G109" s="23"/>
      <c r="H109" s="23"/>
      <c r="I109" s="23"/>
      <c r="J109" s="23"/>
      <c r="K109" s="23"/>
      <c r="L109" s="23"/>
      <c r="M109" s="23"/>
      <c r="N109" s="4"/>
      <c r="O109" s="23"/>
      <c r="P109" s="23"/>
      <c r="Q109" s="23"/>
      <c r="R109" s="4"/>
    </row>
    <row r="110" spans="1:18" x14ac:dyDescent="0.25">
      <c r="A110" s="876"/>
      <c r="B110" s="4"/>
      <c r="C110" s="23"/>
      <c r="D110" s="23"/>
      <c r="E110" s="23"/>
      <c r="F110" s="23"/>
      <c r="G110" s="23"/>
      <c r="H110" s="23"/>
      <c r="I110" s="23"/>
      <c r="J110" s="23"/>
      <c r="K110" s="23"/>
      <c r="L110" s="23"/>
      <c r="M110" s="23"/>
      <c r="N110" s="4"/>
      <c r="O110" s="23"/>
      <c r="P110" s="23"/>
      <c r="Q110" s="23"/>
      <c r="R110" s="4"/>
    </row>
    <row r="111" spans="1:18" x14ac:dyDescent="0.25">
      <c r="A111" s="876"/>
      <c r="B111" s="4"/>
      <c r="C111" s="23"/>
      <c r="D111" s="23"/>
      <c r="E111" s="23"/>
      <c r="F111" s="23"/>
      <c r="G111" s="23"/>
      <c r="H111" s="23"/>
      <c r="I111" s="23"/>
      <c r="J111" s="23"/>
      <c r="K111" s="23"/>
      <c r="L111" s="23"/>
      <c r="M111" s="23"/>
      <c r="N111" s="4"/>
      <c r="O111" s="23"/>
      <c r="P111" s="23"/>
      <c r="Q111" s="23"/>
      <c r="R111" s="4"/>
    </row>
    <row r="112" spans="1:18" x14ac:dyDescent="0.25">
      <c r="A112" s="876"/>
      <c r="B112" s="4"/>
      <c r="C112" s="23"/>
      <c r="D112" s="23"/>
      <c r="E112" s="23"/>
      <c r="F112" s="23"/>
      <c r="G112" s="23"/>
      <c r="H112" s="23"/>
      <c r="I112" s="23"/>
      <c r="J112" s="23"/>
      <c r="K112" s="23"/>
      <c r="L112" s="23"/>
      <c r="M112" s="23"/>
      <c r="N112" s="4"/>
      <c r="O112" s="23"/>
      <c r="P112" s="23"/>
      <c r="Q112" s="23"/>
      <c r="R112" s="4"/>
    </row>
    <row r="113" spans="3:3" x14ac:dyDescent="0.25">
      <c r="C113" s="114"/>
    </row>
    <row r="114" spans="3:3" x14ac:dyDescent="0.25">
      <c r="C114" s="114"/>
    </row>
    <row r="115" spans="3:3" x14ac:dyDescent="0.25">
      <c r="C115" s="114"/>
    </row>
    <row r="116" spans="3:3" x14ac:dyDescent="0.25">
      <c r="C116" s="114"/>
    </row>
    <row r="117" spans="3:3" x14ac:dyDescent="0.25">
      <c r="C117" s="114"/>
    </row>
    <row r="118" spans="3:3" x14ac:dyDescent="0.25">
      <c r="C118" s="114"/>
    </row>
    <row r="119" spans="3:3" x14ac:dyDescent="0.25">
      <c r="C119" s="114"/>
    </row>
    <row r="120" spans="3:3" x14ac:dyDescent="0.25">
      <c r="C120" s="114"/>
    </row>
    <row r="121" spans="3:3" x14ac:dyDescent="0.25">
      <c r="C121" s="114"/>
    </row>
    <row r="122" spans="3:3" x14ac:dyDescent="0.25">
      <c r="C122" s="114"/>
    </row>
    <row r="123" spans="3:3" x14ac:dyDescent="0.25">
      <c r="C123" s="114"/>
    </row>
    <row r="124" spans="3:3" x14ac:dyDescent="0.25">
      <c r="C124" s="114"/>
    </row>
    <row r="125" spans="3:3" x14ac:dyDescent="0.25">
      <c r="C125" s="114"/>
    </row>
    <row r="126" spans="3:3" x14ac:dyDescent="0.25">
      <c r="C126" s="114"/>
    </row>
    <row r="127" spans="3:3" x14ac:dyDescent="0.25">
      <c r="C127" s="114"/>
    </row>
    <row r="128" spans="3:3" x14ac:dyDescent="0.25">
      <c r="C128" s="114"/>
    </row>
    <row r="129" spans="3:3" x14ac:dyDescent="0.25">
      <c r="C129" s="114"/>
    </row>
    <row r="130" spans="3:3" x14ac:dyDescent="0.25">
      <c r="C130" s="114"/>
    </row>
    <row r="131" spans="3:3" x14ac:dyDescent="0.25">
      <c r="C131" s="114"/>
    </row>
    <row r="132" spans="3:3" x14ac:dyDescent="0.25">
      <c r="C132" s="114"/>
    </row>
    <row r="133" spans="3:3" x14ac:dyDescent="0.25">
      <c r="C133" s="114"/>
    </row>
    <row r="134" spans="3:3" x14ac:dyDescent="0.25">
      <c r="C134" s="114"/>
    </row>
    <row r="135" spans="3:3" x14ac:dyDescent="0.25">
      <c r="C135" s="114"/>
    </row>
    <row r="136" spans="3:3" x14ac:dyDescent="0.25">
      <c r="C136" s="114"/>
    </row>
    <row r="137" spans="3:3" x14ac:dyDescent="0.25">
      <c r="C137" s="114"/>
    </row>
    <row r="138" spans="3:3" x14ac:dyDescent="0.25">
      <c r="C138" s="114"/>
    </row>
    <row r="139" spans="3:3" x14ac:dyDescent="0.25">
      <c r="C139" s="114"/>
    </row>
    <row r="140" spans="3:3" x14ac:dyDescent="0.25">
      <c r="C140" s="114"/>
    </row>
    <row r="141" spans="3:3" x14ac:dyDescent="0.25">
      <c r="C141" s="114"/>
    </row>
    <row r="142" spans="3:3" x14ac:dyDescent="0.25">
      <c r="C142" s="114"/>
    </row>
    <row r="143" spans="3:3" x14ac:dyDescent="0.25">
      <c r="C143" s="114"/>
    </row>
    <row r="144" spans="3:3" x14ac:dyDescent="0.25">
      <c r="C144" s="114"/>
    </row>
    <row r="145" spans="3:3" x14ac:dyDescent="0.25">
      <c r="C145" s="114"/>
    </row>
    <row r="146" spans="3:3" x14ac:dyDescent="0.25">
      <c r="C146" s="114"/>
    </row>
    <row r="147" spans="3:3" x14ac:dyDescent="0.25">
      <c r="C147" s="114"/>
    </row>
    <row r="148" spans="3:3" x14ac:dyDescent="0.25">
      <c r="C148" s="114"/>
    </row>
    <row r="149" spans="3:3" x14ac:dyDescent="0.25">
      <c r="C149" s="114"/>
    </row>
    <row r="150" spans="3:3" x14ac:dyDescent="0.25">
      <c r="C150" s="114"/>
    </row>
    <row r="151" spans="3:3" x14ac:dyDescent="0.25">
      <c r="C151" s="114"/>
    </row>
    <row r="152" spans="3:3" x14ac:dyDescent="0.25">
      <c r="C152" s="114"/>
    </row>
    <row r="153" spans="3:3" x14ac:dyDescent="0.25">
      <c r="C153" s="114"/>
    </row>
    <row r="154" spans="3:3" x14ac:dyDescent="0.25">
      <c r="C154" s="114"/>
    </row>
    <row r="155" spans="3:3" x14ac:dyDescent="0.25">
      <c r="C155" s="114"/>
    </row>
    <row r="156" spans="3:3" x14ac:dyDescent="0.25">
      <c r="C156" s="114"/>
    </row>
    <row r="157" spans="3:3" x14ac:dyDescent="0.25">
      <c r="C157" s="114"/>
    </row>
    <row r="158" spans="3:3" x14ac:dyDescent="0.25">
      <c r="C158" s="114"/>
    </row>
    <row r="159" spans="3:3" x14ac:dyDescent="0.25">
      <c r="C159" s="114"/>
    </row>
    <row r="160" spans="3:3" x14ac:dyDescent="0.25">
      <c r="C160" s="114"/>
    </row>
    <row r="161" spans="3:3" x14ac:dyDescent="0.25">
      <c r="C161" s="114"/>
    </row>
    <row r="162" spans="3:3" x14ac:dyDescent="0.25">
      <c r="C162" s="114"/>
    </row>
    <row r="163" spans="3:3" x14ac:dyDescent="0.25">
      <c r="C163" s="114"/>
    </row>
    <row r="164" spans="3:3" x14ac:dyDescent="0.25">
      <c r="C164" s="114"/>
    </row>
  </sheetData>
  <phoneticPr fontId="0" type="noConversion"/>
  <hyperlinks>
    <hyperlink ref="A1" location="'Working Budget with funding det'!A1" display="Main " xr:uid="{00000000-0004-0000-0F00-000000000000}"/>
    <hyperlink ref="B1" location="'Table of Contents'!A1" display="TOC" xr:uid="{00000000-0004-0000-0F00-000001000000}"/>
  </hyperlinks>
  <pageMargins left="0.75" right="0.75" top="1" bottom="1" header="0.5" footer="0.5"/>
  <pageSetup scale="95" fitToHeight="2" orientation="landscape" horizontalDpi="300" verticalDpi="300" r:id="rId1"/>
  <headerFooter alignWithMargins="0">
    <oddFooter>&amp;L&amp;D     &amp;T&amp;C&amp;F&amp;R&amp;A  &amp;P</oddFooter>
  </headerFooter>
  <rowBreaks count="1" manualBreakCount="1">
    <brk id="42" max="1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U132"/>
  <sheetViews>
    <sheetView zoomScaleNormal="100" workbookViewId="0">
      <pane ySplit="7" topLeftCell="A31" activePane="bottomLeft" state="frozen"/>
      <selection activeCell="P7" sqref="P7"/>
      <selection pane="bottomLeft" activeCell="O38" sqref="O38:P46"/>
    </sheetView>
  </sheetViews>
  <sheetFormatPr defaultRowHeight="13.2" x14ac:dyDescent="0.25"/>
  <cols>
    <col min="1" max="1" width="11.6640625" style="885" customWidth="1"/>
    <col min="2" max="2" width="36.6640625" customWidth="1"/>
    <col min="3" max="3" width="14.44140625" style="1" hidden="1" customWidth="1"/>
    <col min="4" max="10" width="14.44140625" style="114" hidden="1" customWidth="1"/>
    <col min="11" max="13" width="14.44140625" style="114" customWidth="1"/>
    <col min="14" max="14" width="14.44140625" customWidth="1"/>
    <col min="15" max="17" width="14.44140625" style="1" customWidth="1"/>
    <col min="18" max="18" width="15.109375" customWidth="1"/>
    <col min="19" max="20" width="14.44140625" customWidth="1"/>
    <col min="21" max="21" width="14.6640625" style="2" customWidth="1"/>
    <col min="22" max="22" width="10.44140625" bestFit="1" customWidth="1"/>
  </cols>
  <sheetData>
    <row r="1" spans="1:20" x14ac:dyDescent="0.25">
      <c r="A1" s="874" t="s">
        <v>1021</v>
      </c>
      <c r="B1" s="371" t="s">
        <v>1348</v>
      </c>
      <c r="Q1"/>
    </row>
    <row r="2" spans="1:20" ht="13.8" x14ac:dyDescent="0.25">
      <c r="A2" s="875" t="s">
        <v>259</v>
      </c>
      <c r="B2" s="45"/>
      <c r="E2" s="141"/>
      <c r="I2" s="141" t="s">
        <v>257</v>
      </c>
      <c r="J2" s="141"/>
      <c r="K2" s="141"/>
      <c r="L2" s="141"/>
      <c r="M2" s="141"/>
      <c r="N2" s="61" t="s">
        <v>362</v>
      </c>
      <c r="P2" s="46" t="s">
        <v>480</v>
      </c>
    </row>
    <row r="3" spans="1:20" ht="13.8" thickBot="1" x14ac:dyDescent="0.3">
      <c r="A3" s="876"/>
      <c r="B3" s="4"/>
      <c r="C3" s="23"/>
      <c r="D3" s="23"/>
      <c r="E3" s="23"/>
      <c r="F3" s="23"/>
      <c r="G3" s="23"/>
      <c r="H3" s="23"/>
      <c r="I3" s="23"/>
      <c r="J3" s="23"/>
      <c r="K3" s="23"/>
      <c r="L3" s="23"/>
      <c r="M3" s="23"/>
      <c r="N3" s="4"/>
      <c r="O3" s="23"/>
      <c r="P3" s="4"/>
      <c r="Q3" s="4"/>
      <c r="T3" s="4"/>
    </row>
    <row r="4" spans="1:20" ht="13.8" thickTop="1" x14ac:dyDescent="0.25">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t="s">
        <v>910</v>
      </c>
    </row>
    <row r="5" spans="1:20" x14ac:dyDescent="0.25">
      <c r="A5" s="878"/>
      <c r="B5" s="209"/>
      <c r="C5" s="127"/>
      <c r="D5" s="87"/>
      <c r="E5" s="113"/>
      <c r="F5" s="87"/>
      <c r="G5" s="87"/>
      <c r="H5" s="113"/>
      <c r="I5" s="290"/>
      <c r="J5" s="290"/>
      <c r="K5" s="290"/>
      <c r="L5" s="290"/>
      <c r="M5" s="290"/>
      <c r="N5" s="113" t="s">
        <v>515</v>
      </c>
      <c r="O5" s="88" t="s">
        <v>7</v>
      </c>
      <c r="P5" s="203" t="s">
        <v>782</v>
      </c>
    </row>
    <row r="6" spans="1:20" x14ac:dyDescent="0.25">
      <c r="A6" s="878"/>
      <c r="B6" s="209"/>
      <c r="C6" s="127"/>
      <c r="D6" s="127"/>
      <c r="E6" s="127"/>
      <c r="F6" s="87"/>
      <c r="G6" s="127"/>
      <c r="H6" s="127"/>
      <c r="I6" s="88"/>
      <c r="J6" s="88"/>
      <c r="K6" s="88"/>
      <c r="L6" s="88"/>
      <c r="M6" s="88"/>
      <c r="N6" s="127"/>
      <c r="O6" s="88" t="s">
        <v>8</v>
      </c>
      <c r="P6" s="47" t="s">
        <v>543</v>
      </c>
    </row>
    <row r="7" spans="1:20"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44561</v>
      </c>
      <c r="O7" s="9" t="s">
        <v>9</v>
      </c>
      <c r="P7" s="9" t="s">
        <v>546</v>
      </c>
    </row>
    <row r="8" spans="1:20" ht="13.8" thickTop="1" x14ac:dyDescent="0.25">
      <c r="A8" s="908"/>
      <c r="B8" s="210"/>
      <c r="C8" s="132"/>
      <c r="D8" s="18"/>
      <c r="E8" s="18"/>
      <c r="F8" s="18"/>
      <c r="G8" s="18"/>
      <c r="H8" s="18"/>
      <c r="I8" s="18"/>
      <c r="J8" s="18"/>
      <c r="K8" s="19"/>
      <c r="L8" s="19"/>
      <c r="M8" s="19"/>
      <c r="N8" s="18"/>
      <c r="O8" s="19"/>
      <c r="P8" s="19"/>
    </row>
    <row r="9" spans="1:20" x14ac:dyDescent="0.25">
      <c r="A9" s="881">
        <v>5111</v>
      </c>
      <c r="B9" s="63" t="s">
        <v>688</v>
      </c>
      <c r="C9" s="130">
        <v>131608</v>
      </c>
      <c r="D9" s="13">
        <v>136232.44</v>
      </c>
      <c r="E9" s="13">
        <v>139812.09</v>
      </c>
      <c r="F9" s="13">
        <v>143256.26999999999</v>
      </c>
      <c r="G9" s="13">
        <v>141646.53</v>
      </c>
      <c r="H9" s="13">
        <v>133779.4</v>
      </c>
      <c r="I9" s="13">
        <v>137937.79999999999</v>
      </c>
      <c r="J9" s="13">
        <v>144351.59</v>
      </c>
      <c r="K9" s="14">
        <v>153813</v>
      </c>
      <c r="L9" s="13">
        <v>148846.21</v>
      </c>
      <c r="M9" s="14">
        <v>153735</v>
      </c>
      <c r="N9" s="13">
        <v>74376.56</v>
      </c>
      <c r="O9" s="14">
        <f>ROUND((+N41+N43+N44),2)+1</f>
        <v>156818</v>
      </c>
      <c r="P9" s="14"/>
    </row>
    <row r="10" spans="1:20" x14ac:dyDescent="0.25">
      <c r="A10" s="881">
        <v>5113</v>
      </c>
      <c r="B10" s="63" t="s">
        <v>689</v>
      </c>
      <c r="C10" s="130">
        <v>15961.4</v>
      </c>
      <c r="D10" s="13">
        <v>17462.41</v>
      </c>
      <c r="E10" s="13">
        <v>18590.79</v>
      </c>
      <c r="F10" s="13">
        <v>19711.2</v>
      </c>
      <c r="G10" s="13">
        <v>22812.32</v>
      </c>
      <c r="H10" s="13">
        <v>22997.21</v>
      </c>
      <c r="I10" s="13">
        <v>26904.959999999999</v>
      </c>
      <c r="J10" s="13">
        <v>27083</v>
      </c>
      <c r="K10" s="14">
        <v>22052</v>
      </c>
      <c r="L10" s="13">
        <v>16797.13</v>
      </c>
      <c r="M10" s="14">
        <v>19458</v>
      </c>
      <c r="N10" s="13"/>
      <c r="O10" s="14">
        <f>+N45</f>
        <v>0</v>
      </c>
      <c r="P10" s="14"/>
    </row>
    <row r="11" spans="1:20" x14ac:dyDescent="0.25">
      <c r="A11" s="881">
        <v>5113</v>
      </c>
      <c r="B11" s="63" t="s">
        <v>781</v>
      </c>
      <c r="C11" s="250"/>
      <c r="D11" s="37"/>
      <c r="E11" s="37"/>
      <c r="F11" s="37"/>
      <c r="G11" s="37"/>
      <c r="H11" s="37"/>
      <c r="I11" s="37"/>
      <c r="J11" s="37"/>
      <c r="K11" s="125">
        <v>1200</v>
      </c>
      <c r="L11" s="233"/>
      <c r="M11" s="125">
        <v>1200</v>
      </c>
      <c r="N11" s="37"/>
      <c r="O11" s="125"/>
      <c r="P11" s="125"/>
    </row>
    <row r="12" spans="1:20" x14ac:dyDescent="0.25">
      <c r="A12" s="881">
        <v>5144</v>
      </c>
      <c r="B12" s="63" t="s">
        <v>157</v>
      </c>
      <c r="C12" s="130">
        <v>200</v>
      </c>
      <c r="D12" s="13">
        <v>850</v>
      </c>
      <c r="E12" s="13">
        <v>850</v>
      </c>
      <c r="F12" s="13">
        <v>850</v>
      </c>
      <c r="G12" s="13">
        <v>1600</v>
      </c>
      <c r="H12" s="13">
        <v>1700</v>
      </c>
      <c r="I12" s="13">
        <v>2000</v>
      </c>
      <c r="J12" s="13">
        <v>2000</v>
      </c>
      <c r="K12" s="122">
        <v>2000</v>
      </c>
      <c r="L12" s="144">
        <v>2000</v>
      </c>
      <c r="M12" s="122">
        <v>1300</v>
      </c>
      <c r="N12" s="13"/>
      <c r="O12" s="122">
        <f>ROUND((+Q46),0)</f>
        <v>1300</v>
      </c>
      <c r="P12" s="122"/>
    </row>
    <row r="13" spans="1:20" x14ac:dyDescent="0.25">
      <c r="A13" s="881">
        <v>5145</v>
      </c>
      <c r="B13" s="63" t="s">
        <v>603</v>
      </c>
      <c r="C13" s="130"/>
      <c r="D13" s="13"/>
      <c r="E13" s="13"/>
      <c r="F13" s="13"/>
      <c r="G13" s="13"/>
      <c r="H13" s="13">
        <v>40.39</v>
      </c>
      <c r="I13" s="13">
        <v>300.04000000000002</v>
      </c>
      <c r="J13" s="13">
        <v>300.04000000000002</v>
      </c>
      <c r="K13" s="122">
        <v>300</v>
      </c>
      <c r="L13" s="144">
        <v>305.81</v>
      </c>
      <c r="M13" s="122">
        <v>300</v>
      </c>
      <c r="N13" s="13">
        <v>144.25</v>
      </c>
      <c r="O13" s="122">
        <v>300</v>
      </c>
      <c r="P13" s="125"/>
    </row>
    <row r="14" spans="1:20" x14ac:dyDescent="0.25">
      <c r="A14" s="908">
        <v>5193</v>
      </c>
      <c r="B14" s="110" t="s">
        <v>699</v>
      </c>
      <c r="C14" s="709"/>
      <c r="D14" s="30"/>
      <c r="E14" s="30"/>
      <c r="F14" s="30"/>
      <c r="G14" s="30"/>
      <c r="H14" s="30"/>
      <c r="I14" s="30"/>
      <c r="J14" s="30"/>
      <c r="K14" s="142">
        <v>3875</v>
      </c>
      <c r="L14" s="320">
        <v>4649.3999999999996</v>
      </c>
      <c r="M14" s="142"/>
      <c r="N14" s="30"/>
      <c r="O14" s="142"/>
      <c r="P14" s="125"/>
    </row>
    <row r="15" spans="1:20" ht="13.8" thickBot="1" x14ac:dyDescent="0.3">
      <c r="A15" s="881">
        <v>5194</v>
      </c>
      <c r="B15" s="63" t="s">
        <v>226</v>
      </c>
      <c r="C15" s="131"/>
      <c r="D15" s="15"/>
      <c r="E15" s="15"/>
      <c r="F15" s="15"/>
      <c r="G15" s="15"/>
      <c r="H15" s="15"/>
      <c r="I15" s="15"/>
      <c r="J15" s="15"/>
      <c r="K15" s="123">
        <v>3500</v>
      </c>
      <c r="L15" s="318">
        <v>3500</v>
      </c>
      <c r="M15" s="123"/>
      <c r="N15" s="15"/>
      <c r="O15" s="123"/>
      <c r="P15" s="123"/>
    </row>
    <row r="16" spans="1:20" x14ac:dyDescent="0.25">
      <c r="A16" s="881"/>
      <c r="B16" s="64" t="s">
        <v>130</v>
      </c>
      <c r="C16" s="132">
        <f t="shared" ref="C16:E16" si="0">SUM(C9:C12)</f>
        <v>147769.4</v>
      </c>
      <c r="D16" s="18">
        <f t="shared" si="0"/>
        <v>154544.85</v>
      </c>
      <c r="E16" s="18">
        <f t="shared" si="0"/>
        <v>159252.88</v>
      </c>
      <c r="F16" s="18">
        <f>SUM(F9:F12)</f>
        <v>163817.47</v>
      </c>
      <c r="G16" s="18">
        <f>SUM(G9:G12)</f>
        <v>166058.85</v>
      </c>
      <c r="H16" s="18">
        <f t="shared" ref="H16:O16" si="1">SUM(H9:H15)</f>
        <v>158517</v>
      </c>
      <c r="I16" s="18">
        <f t="shared" si="1"/>
        <v>167142.79999999999</v>
      </c>
      <c r="J16" s="18">
        <f t="shared" si="1"/>
        <v>173734.63</v>
      </c>
      <c r="K16" s="124">
        <f t="shared" si="1"/>
        <v>186740</v>
      </c>
      <c r="L16" s="126">
        <f t="shared" si="1"/>
        <v>176098.55</v>
      </c>
      <c r="M16" s="124">
        <f t="shared" si="1"/>
        <v>175993</v>
      </c>
      <c r="N16" s="18">
        <f t="shared" si="1"/>
        <v>74520.81</v>
      </c>
      <c r="O16" s="124">
        <f t="shared" si="1"/>
        <v>158418</v>
      </c>
      <c r="P16" s="124">
        <f>SUM(P9:P12)</f>
        <v>0</v>
      </c>
    </row>
    <row r="17" spans="1:16" x14ac:dyDescent="0.25">
      <c r="A17" s="881"/>
      <c r="B17" s="63"/>
      <c r="C17" s="130"/>
      <c r="D17" s="13"/>
      <c r="E17" s="13"/>
      <c r="F17" s="13"/>
      <c r="G17" s="13"/>
      <c r="H17" s="13"/>
      <c r="I17" s="13"/>
      <c r="J17" s="13"/>
      <c r="K17" s="122"/>
      <c r="L17" s="144"/>
      <c r="M17" s="122"/>
      <c r="N17" s="13"/>
      <c r="O17" s="122"/>
      <c r="P17" s="14"/>
    </row>
    <row r="18" spans="1:16" hidden="1" x14ac:dyDescent="0.25">
      <c r="A18" s="881">
        <v>5305</v>
      </c>
      <c r="B18" s="63" t="s">
        <v>148</v>
      </c>
      <c r="C18" s="130"/>
      <c r="D18" s="13">
        <v>0</v>
      </c>
      <c r="E18" s="13"/>
      <c r="F18" s="13"/>
      <c r="G18" s="13"/>
      <c r="H18" s="13"/>
      <c r="I18" s="144">
        <v>0</v>
      </c>
      <c r="J18" s="144"/>
      <c r="K18" s="122">
        <v>0</v>
      </c>
      <c r="L18" s="144"/>
      <c r="M18" s="122"/>
      <c r="N18" s="13"/>
      <c r="O18" s="122">
        <v>0</v>
      </c>
      <c r="P18" s="122"/>
    </row>
    <row r="19" spans="1:16" x14ac:dyDescent="0.25">
      <c r="A19" s="881">
        <v>5306</v>
      </c>
      <c r="B19" s="63" t="s">
        <v>726</v>
      </c>
      <c r="C19" s="130">
        <v>4620</v>
      </c>
      <c r="D19" s="13">
        <v>4620</v>
      </c>
      <c r="E19" s="13">
        <v>5451</v>
      </c>
      <c r="F19" s="13">
        <v>5451</v>
      </c>
      <c r="G19" s="13">
        <v>4851</v>
      </c>
      <c r="H19" s="13">
        <v>5451</v>
      </c>
      <c r="I19" s="144">
        <v>5233.8</v>
      </c>
      <c r="J19" s="144">
        <v>6184</v>
      </c>
      <c r="K19" s="122">
        <v>7200</v>
      </c>
      <c r="L19" s="144">
        <v>7184</v>
      </c>
      <c r="M19" s="122">
        <v>6200</v>
      </c>
      <c r="N19" s="13">
        <v>6184</v>
      </c>
      <c r="O19" s="122">
        <v>6200</v>
      </c>
      <c r="P19" s="122"/>
    </row>
    <row r="20" spans="1:16" x14ac:dyDescent="0.25">
      <c r="A20" s="881">
        <v>5314</v>
      </c>
      <c r="B20" s="63" t="s">
        <v>139</v>
      </c>
      <c r="C20" s="130"/>
      <c r="D20" s="13">
        <v>110</v>
      </c>
      <c r="E20" s="13"/>
      <c r="F20" s="13"/>
      <c r="G20" s="13">
        <v>75</v>
      </c>
      <c r="H20" s="13">
        <v>95</v>
      </c>
      <c r="I20" s="13">
        <v>345</v>
      </c>
      <c r="J20" s="13">
        <v>95</v>
      </c>
      <c r="K20" s="42">
        <v>200</v>
      </c>
      <c r="L20" s="13"/>
      <c r="M20" s="42">
        <v>200</v>
      </c>
      <c r="N20" s="13">
        <v>170</v>
      </c>
      <c r="O20" s="42">
        <v>200</v>
      </c>
      <c r="P20" s="122"/>
    </row>
    <row r="21" spans="1:16" x14ac:dyDescent="0.25">
      <c r="A21" s="881">
        <v>5315</v>
      </c>
      <c r="B21" s="12" t="s">
        <v>1055</v>
      </c>
      <c r="C21" s="13"/>
      <c r="D21" s="13"/>
      <c r="E21" s="13"/>
      <c r="F21" s="13"/>
      <c r="G21" s="13"/>
      <c r="H21" s="13">
        <v>1600</v>
      </c>
      <c r="I21" s="23">
        <v>550</v>
      </c>
      <c r="J21" s="13">
        <v>1650</v>
      </c>
      <c r="K21" s="77">
        <v>2200</v>
      </c>
      <c r="L21" s="13">
        <v>2750</v>
      </c>
      <c r="M21" s="77">
        <v>2200</v>
      </c>
      <c r="N21" s="13">
        <v>550</v>
      </c>
      <c r="O21" s="77">
        <v>2200</v>
      </c>
      <c r="P21" s="122"/>
    </row>
    <row r="22" spans="1:16" hidden="1" x14ac:dyDescent="0.25">
      <c r="A22" s="881">
        <v>5341</v>
      </c>
      <c r="B22" s="12" t="s">
        <v>141</v>
      </c>
      <c r="C22" s="13">
        <v>425.78</v>
      </c>
      <c r="D22" s="13">
        <v>415.92</v>
      </c>
      <c r="E22" s="13">
        <v>414.96</v>
      </c>
      <c r="F22" s="13">
        <v>392.85</v>
      </c>
      <c r="G22" s="13">
        <v>523.09</v>
      </c>
      <c r="H22" s="13"/>
      <c r="I22" s="144"/>
      <c r="J22" s="144"/>
      <c r="K22" s="122"/>
      <c r="L22" s="144"/>
      <c r="M22" s="122"/>
      <c r="N22" s="13"/>
      <c r="O22" s="122"/>
      <c r="P22" s="122"/>
    </row>
    <row r="23" spans="1:16" x14ac:dyDescent="0.25">
      <c r="A23" s="881">
        <v>5344</v>
      </c>
      <c r="B23" s="12" t="s">
        <v>142</v>
      </c>
      <c r="C23" s="13">
        <v>12123.38</v>
      </c>
      <c r="D23" s="13">
        <v>12087.96</v>
      </c>
      <c r="E23" s="13">
        <v>13215.57</v>
      </c>
      <c r="F23" s="13">
        <v>13906.85</v>
      </c>
      <c r="G23" s="13">
        <v>12997.21</v>
      </c>
      <c r="H23" s="13">
        <v>14485.3</v>
      </c>
      <c r="I23" s="144">
        <v>13397.79</v>
      </c>
      <c r="J23" s="144">
        <v>12794.75</v>
      </c>
      <c r="K23" s="122">
        <v>14000</v>
      </c>
      <c r="L23" s="144">
        <v>13070.53</v>
      </c>
      <c r="M23" s="122">
        <v>14000</v>
      </c>
      <c r="N23" s="13">
        <v>7975.13</v>
      </c>
      <c r="O23" s="122">
        <v>15000</v>
      </c>
      <c r="P23" s="122"/>
    </row>
    <row r="24" spans="1:16" x14ac:dyDescent="0.25">
      <c r="A24" s="881">
        <v>5345</v>
      </c>
      <c r="B24" s="12" t="s">
        <v>143</v>
      </c>
      <c r="C24" s="18"/>
      <c r="D24" s="18"/>
      <c r="E24" s="18"/>
      <c r="F24" s="18"/>
      <c r="G24" s="18">
        <v>1861.8</v>
      </c>
      <c r="H24" s="18"/>
      <c r="I24" s="126"/>
      <c r="J24" s="126"/>
      <c r="K24" s="124">
        <v>750</v>
      </c>
      <c r="L24" s="126"/>
      <c r="M24" s="124">
        <v>0</v>
      </c>
      <c r="N24" s="18"/>
      <c r="O24" s="124">
        <v>0</v>
      </c>
      <c r="P24" s="124"/>
    </row>
    <row r="25" spans="1:16" x14ac:dyDescent="0.25">
      <c r="A25" s="881">
        <v>5420</v>
      </c>
      <c r="B25" s="12" t="s">
        <v>144</v>
      </c>
      <c r="C25" s="18">
        <v>4414.04</v>
      </c>
      <c r="D25" s="18">
        <v>6221.32</v>
      </c>
      <c r="E25" s="18">
        <v>3872.38</v>
      </c>
      <c r="F25" s="18">
        <v>4961.75</v>
      </c>
      <c r="G25" s="18">
        <v>5246.18</v>
      </c>
      <c r="H25" s="18">
        <v>4720.84</v>
      </c>
      <c r="I25" s="126">
        <v>6197.54</v>
      </c>
      <c r="J25" s="126">
        <v>6097.7</v>
      </c>
      <c r="K25" s="124">
        <v>6600</v>
      </c>
      <c r="L25" s="126">
        <v>7856.4</v>
      </c>
      <c r="M25" s="124">
        <v>6400</v>
      </c>
      <c r="N25" s="18">
        <v>4630.43</v>
      </c>
      <c r="O25" s="124">
        <v>7000</v>
      </c>
      <c r="P25" s="124"/>
    </row>
    <row r="26" spans="1:16" hidden="1" x14ac:dyDescent="0.25">
      <c r="A26" s="881">
        <v>5590</v>
      </c>
      <c r="B26" s="12" t="s">
        <v>1001</v>
      </c>
      <c r="C26" s="18"/>
      <c r="D26" s="18"/>
      <c r="E26" s="18"/>
      <c r="F26" s="18">
        <v>2000.7</v>
      </c>
      <c r="G26" s="18">
        <v>594</v>
      </c>
      <c r="H26" s="18">
        <v>4274.05</v>
      </c>
      <c r="I26" s="126"/>
      <c r="J26" s="126"/>
      <c r="K26" s="124"/>
      <c r="L26" s="126"/>
      <c r="M26" s="124"/>
      <c r="N26" s="18"/>
      <c r="O26" s="124"/>
      <c r="P26" s="124"/>
    </row>
    <row r="27" spans="1:16" x14ac:dyDescent="0.25">
      <c r="A27" s="881">
        <v>5710</v>
      </c>
      <c r="B27" s="12" t="s">
        <v>535</v>
      </c>
      <c r="C27" s="18">
        <v>916.62</v>
      </c>
      <c r="D27" s="18">
        <v>1018.29</v>
      </c>
      <c r="E27" s="18">
        <v>763.19</v>
      </c>
      <c r="F27" s="18">
        <v>779.21</v>
      </c>
      <c r="G27" s="18">
        <v>779.53</v>
      </c>
      <c r="H27" s="18">
        <v>624.79</v>
      </c>
      <c r="I27" s="126">
        <v>687.04</v>
      </c>
      <c r="J27" s="126">
        <v>606.72</v>
      </c>
      <c r="K27" s="124">
        <v>750</v>
      </c>
      <c r="L27" s="126">
        <v>472.67</v>
      </c>
      <c r="M27" s="124">
        <v>750</v>
      </c>
      <c r="N27" s="18">
        <v>162.4</v>
      </c>
      <c r="O27" s="124">
        <v>600</v>
      </c>
      <c r="P27" s="124"/>
    </row>
    <row r="28" spans="1:16" x14ac:dyDescent="0.25">
      <c r="A28" s="881">
        <v>5730</v>
      </c>
      <c r="B28" s="12" t="s">
        <v>147</v>
      </c>
      <c r="C28" s="13">
        <v>100</v>
      </c>
      <c r="D28" s="13">
        <v>100</v>
      </c>
      <c r="E28" s="13">
        <v>60</v>
      </c>
      <c r="F28" s="13">
        <v>60</v>
      </c>
      <c r="G28" s="13">
        <v>85</v>
      </c>
      <c r="H28" s="13">
        <v>60</v>
      </c>
      <c r="I28" s="144">
        <v>90</v>
      </c>
      <c r="J28" s="144">
        <v>60</v>
      </c>
      <c r="K28" s="122">
        <v>120</v>
      </c>
      <c r="L28" s="144">
        <v>145</v>
      </c>
      <c r="M28" s="122">
        <v>120</v>
      </c>
      <c r="N28" s="13">
        <v>50</v>
      </c>
      <c r="O28" s="122">
        <v>120</v>
      </c>
      <c r="P28" s="122"/>
    </row>
    <row r="29" spans="1:16" x14ac:dyDescent="0.25">
      <c r="A29" s="881">
        <v>5740</v>
      </c>
      <c r="B29" s="12" t="s">
        <v>154</v>
      </c>
      <c r="C29" s="13">
        <v>2197.5</v>
      </c>
      <c r="D29" s="13">
        <v>2197.5</v>
      </c>
      <c r="E29" s="13">
        <v>2197.5</v>
      </c>
      <c r="F29" s="13">
        <v>2197.5</v>
      </c>
      <c r="G29" s="13">
        <v>2892.11</v>
      </c>
      <c r="H29" s="13">
        <v>2960</v>
      </c>
      <c r="I29" s="144">
        <v>2960</v>
      </c>
      <c r="J29" s="144">
        <v>2960</v>
      </c>
      <c r="K29" s="122">
        <v>3000</v>
      </c>
      <c r="L29" s="144">
        <v>3120</v>
      </c>
      <c r="M29" s="122">
        <v>3100</v>
      </c>
      <c r="N29" s="13">
        <v>100</v>
      </c>
      <c r="O29" s="122">
        <v>3150</v>
      </c>
      <c r="P29" s="122"/>
    </row>
    <row r="30" spans="1:16" ht="13.8" thickBot="1" x14ac:dyDescent="0.3">
      <c r="A30" s="881">
        <v>5781</v>
      </c>
      <c r="B30" s="12" t="s">
        <v>155</v>
      </c>
      <c r="C30" s="15">
        <v>18473.189999999999</v>
      </c>
      <c r="D30" s="15">
        <v>15994.06</v>
      </c>
      <c r="E30" s="15">
        <v>21530.9</v>
      </c>
      <c r="F30" s="15">
        <v>24467.47</v>
      </c>
      <c r="G30" s="15">
        <v>17736.900000000001</v>
      </c>
      <c r="H30" s="15">
        <v>15882.35</v>
      </c>
      <c r="I30" s="318">
        <v>10222.24</v>
      </c>
      <c r="J30" s="318">
        <v>15229.29</v>
      </c>
      <c r="K30" s="123">
        <v>18000</v>
      </c>
      <c r="L30" s="318">
        <v>12500.79</v>
      </c>
      <c r="M30" s="123">
        <v>20000</v>
      </c>
      <c r="N30" s="15">
        <v>14335.45</v>
      </c>
      <c r="O30" s="123">
        <v>23000</v>
      </c>
      <c r="P30" s="123"/>
    </row>
    <row r="31" spans="1:16" x14ac:dyDescent="0.25">
      <c r="A31" s="881"/>
      <c r="B31" s="17" t="s">
        <v>449</v>
      </c>
      <c r="C31" s="13">
        <f t="shared" ref="C31:N31" si="2">SUM(C18:C30)</f>
        <v>43270.509999999995</v>
      </c>
      <c r="D31" s="13">
        <f t="shared" si="2"/>
        <v>42765.049999999996</v>
      </c>
      <c r="E31" s="13">
        <f t="shared" si="2"/>
        <v>47505.5</v>
      </c>
      <c r="F31" s="13">
        <f>SUM(F18:F30)</f>
        <v>54217.33</v>
      </c>
      <c r="G31" s="13">
        <f>SUM(G18:G30)</f>
        <v>47641.82</v>
      </c>
      <c r="H31" s="13">
        <f>SUM(H18:H30)</f>
        <v>50153.329999999994</v>
      </c>
      <c r="I31" s="13">
        <f t="shared" si="2"/>
        <v>39683.410000000003</v>
      </c>
      <c r="J31" s="13">
        <f t="shared" ref="J31" si="3">SUM(J18:J30)</f>
        <v>45677.460000000006</v>
      </c>
      <c r="K31" s="14">
        <f>SUM(K18:K30)</f>
        <v>52820</v>
      </c>
      <c r="L31" s="13">
        <f t="shared" ref="L31:M31" si="4">SUM(L18:L30)</f>
        <v>47099.39</v>
      </c>
      <c r="M31" s="14">
        <f t="shared" si="4"/>
        <v>52970</v>
      </c>
      <c r="N31" s="13">
        <f t="shared" si="2"/>
        <v>34157.410000000003</v>
      </c>
      <c r="O31" s="14">
        <f>SUM(O18:O30)</f>
        <v>57470</v>
      </c>
      <c r="P31" s="14">
        <f>SUM(P18:P30)</f>
        <v>0</v>
      </c>
    </row>
    <row r="32" spans="1:16" x14ac:dyDescent="0.25">
      <c r="A32" s="881"/>
      <c r="B32" s="12"/>
      <c r="C32" s="13"/>
      <c r="D32" s="13"/>
      <c r="E32" s="13"/>
      <c r="F32" s="13"/>
      <c r="G32" s="13"/>
      <c r="H32" s="13"/>
      <c r="I32" s="13"/>
      <c r="J32" s="13"/>
      <c r="K32" s="14"/>
      <c r="L32" s="13"/>
      <c r="M32" s="14"/>
      <c r="N32" s="13"/>
      <c r="O32" s="14"/>
      <c r="P32" s="14"/>
    </row>
    <row r="33" spans="1:20" ht="13.8" thickBot="1" x14ac:dyDescent="0.3">
      <c r="A33" s="882"/>
      <c r="B33" s="20" t="s">
        <v>284</v>
      </c>
      <c r="C33" s="21">
        <f t="shared" ref="C33:N33" si="5">+C31+C16</f>
        <v>191039.90999999997</v>
      </c>
      <c r="D33" s="21">
        <f t="shared" si="5"/>
        <v>197309.9</v>
      </c>
      <c r="E33" s="21">
        <f t="shared" si="5"/>
        <v>206758.38</v>
      </c>
      <c r="F33" s="21">
        <f>+F31+F16</f>
        <v>218034.8</v>
      </c>
      <c r="G33" s="21">
        <f>+G31+G16</f>
        <v>213700.67</v>
      </c>
      <c r="H33" s="21">
        <f>+H31+H16</f>
        <v>208670.33</v>
      </c>
      <c r="I33" s="21">
        <f t="shared" si="5"/>
        <v>206826.21</v>
      </c>
      <c r="J33" s="21">
        <f t="shared" ref="J33" si="6">+J31+J16</f>
        <v>219412.09000000003</v>
      </c>
      <c r="K33" s="41">
        <f>+K31+K16</f>
        <v>239560</v>
      </c>
      <c r="L33" s="21">
        <f t="shared" ref="L33:M33" si="7">+L31+L16</f>
        <v>223197.94</v>
      </c>
      <c r="M33" s="41">
        <f t="shared" si="7"/>
        <v>228963</v>
      </c>
      <c r="N33" s="21">
        <f t="shared" si="5"/>
        <v>108678.22</v>
      </c>
      <c r="O33" s="41">
        <f>+O31+O16</f>
        <v>215888</v>
      </c>
      <c r="P33" s="41">
        <f>+O33</f>
        <v>215888</v>
      </c>
    </row>
    <row r="34" spans="1:20" ht="16.2" thickTop="1" x14ac:dyDescent="0.3">
      <c r="A34" s="876"/>
      <c r="B34" s="4"/>
      <c r="C34" s="23"/>
      <c r="D34" s="23"/>
      <c r="E34" s="23"/>
      <c r="F34" s="23"/>
      <c r="G34" s="23"/>
      <c r="H34" s="23"/>
      <c r="I34" s="23"/>
      <c r="J34" s="23"/>
      <c r="K34" s="23"/>
      <c r="L34" s="23"/>
      <c r="M34" s="23"/>
      <c r="N34" s="27"/>
      <c r="O34" s="23"/>
      <c r="P34" s="77"/>
      <c r="Q34" s="23"/>
      <c r="R34" s="27"/>
      <c r="S34" s="208"/>
      <c r="T34" s="27"/>
    </row>
    <row r="35" spans="1:20" x14ac:dyDescent="0.25">
      <c r="A35" s="57">
        <v>44537</v>
      </c>
      <c r="B35" s="4" t="s">
        <v>1349</v>
      </c>
      <c r="C35" s="23"/>
      <c r="D35" s="23"/>
      <c r="E35" s="23"/>
      <c r="F35" s="23"/>
      <c r="G35" s="23"/>
      <c r="H35" s="23"/>
      <c r="I35" s="23"/>
      <c r="J35" s="23"/>
      <c r="K35" s="23"/>
      <c r="L35" s="23"/>
      <c r="M35" s="23"/>
      <c r="N35" s="27"/>
      <c r="O35" s="23"/>
      <c r="P35" s="77"/>
      <c r="Q35" s="27"/>
      <c r="R35" s="27"/>
      <c r="S35" s="27"/>
      <c r="T35" s="27"/>
    </row>
    <row r="36" spans="1:20" x14ac:dyDescent="0.25">
      <c r="A36" s="66"/>
      <c r="B36" s="4"/>
      <c r="C36" s="23"/>
      <c r="D36" s="23"/>
      <c r="E36" s="23"/>
      <c r="F36" s="23"/>
      <c r="G36" s="23"/>
      <c r="H36" s="23"/>
      <c r="I36" s="23"/>
      <c r="J36" s="23"/>
      <c r="K36" s="23"/>
      <c r="L36" s="23"/>
      <c r="M36" s="23"/>
      <c r="N36" s="27"/>
      <c r="O36" s="23"/>
      <c r="P36" s="77"/>
      <c r="Q36" s="27"/>
      <c r="R36" s="27"/>
      <c r="S36" s="27"/>
      <c r="T36" s="27"/>
    </row>
    <row r="37" spans="1:20" x14ac:dyDescent="0.25">
      <c r="A37" s="876" t="s">
        <v>527</v>
      </c>
      <c r="B37" s="4"/>
    </row>
    <row r="38" spans="1:20" ht="13.8" thickBot="1" x14ac:dyDescent="0.3">
      <c r="A38" s="876"/>
      <c r="B38" s="4"/>
    </row>
    <row r="39" spans="1:20" ht="13.8" thickTop="1" x14ac:dyDescent="0.25">
      <c r="A39" s="883" t="s">
        <v>891</v>
      </c>
      <c r="B39" s="107"/>
      <c r="K39" s="149" t="s">
        <v>85</v>
      </c>
      <c r="L39" s="156" t="s">
        <v>33</v>
      </c>
      <c r="M39" s="168"/>
      <c r="N39" s="158" t="s">
        <v>579</v>
      </c>
      <c r="O39"/>
      <c r="P39" s="212"/>
      <c r="Q39"/>
    </row>
    <row r="40" spans="1:20" ht="13.8" thickBot="1" x14ac:dyDescent="0.3">
      <c r="A40" s="884" t="s">
        <v>892</v>
      </c>
      <c r="B40" s="109" t="s">
        <v>528</v>
      </c>
      <c r="K40" s="343">
        <v>44743</v>
      </c>
      <c r="L40" s="159" t="s">
        <v>576</v>
      </c>
      <c r="M40" s="160" t="s">
        <v>34</v>
      </c>
      <c r="N40" s="160" t="s">
        <v>106</v>
      </c>
      <c r="O40" s="234"/>
      <c r="P40" s="234"/>
      <c r="Q40" s="234" t="s">
        <v>350</v>
      </c>
    </row>
    <row r="41" spans="1:20" ht="13.8" thickTop="1" x14ac:dyDescent="0.25">
      <c r="A41" s="151"/>
      <c r="B41" s="110" t="s">
        <v>451</v>
      </c>
      <c r="K41" s="18" t="s">
        <v>1236</v>
      </c>
      <c r="L41" s="110"/>
      <c r="M41" s="19"/>
      <c r="N41" s="326">
        <f>+'NAGE &amp; Non-Union Wages'!J10</f>
        <v>72824</v>
      </c>
      <c r="O41"/>
      <c r="P41"/>
      <c r="Q41" s="2"/>
    </row>
    <row r="42" spans="1:20" x14ac:dyDescent="0.25">
      <c r="A42" s="151"/>
      <c r="B42" s="110" t="s">
        <v>756</v>
      </c>
      <c r="K42" s="18"/>
      <c r="L42" s="207"/>
      <c r="M42" s="169"/>
      <c r="N42" s="155"/>
      <c r="O42"/>
      <c r="P42"/>
      <c r="Q42" s="2"/>
    </row>
    <row r="43" spans="1:20" x14ac:dyDescent="0.25">
      <c r="A43" s="171"/>
      <c r="B43" s="63" t="s">
        <v>1358</v>
      </c>
      <c r="K43" s="14" t="s">
        <v>787</v>
      </c>
      <c r="L43" s="166">
        <f>+'NAGE &amp; Non-Union Wages'!K5</f>
        <v>21.92</v>
      </c>
      <c r="M43" s="13">
        <v>1820</v>
      </c>
      <c r="N43" s="155">
        <f>ROUND((+L43*M43),2)</f>
        <v>39894.400000000001</v>
      </c>
      <c r="O43" s="171"/>
      <c r="P43" s="885"/>
      <c r="Q43" s="2">
        <v>500</v>
      </c>
    </row>
    <row r="44" spans="1:20" x14ac:dyDescent="0.25">
      <c r="A44" s="171"/>
      <c r="B44" s="236" t="s">
        <v>1559</v>
      </c>
      <c r="C44" s="335"/>
      <c r="D44" s="374"/>
      <c r="E44" s="374"/>
      <c r="F44" s="374"/>
      <c r="G44" s="374"/>
      <c r="H44" s="374"/>
      <c r="K44" s="122" t="s">
        <v>1323</v>
      </c>
      <c r="L44" s="1039">
        <f>+'NAGE &amp; Non-Union Wages'!H7</f>
        <v>24.23</v>
      </c>
      <c r="M44" s="126">
        <v>1820</v>
      </c>
      <c r="N44" s="326">
        <f>ROUND((+L44*M44),2)</f>
        <v>44098.6</v>
      </c>
      <c r="O44" s="171"/>
      <c r="P44" s="885"/>
      <c r="Q44" s="2">
        <v>800</v>
      </c>
    </row>
    <row r="45" spans="1:20" x14ac:dyDescent="0.25">
      <c r="B45" s="236" t="s">
        <v>1562</v>
      </c>
      <c r="C45" s="335"/>
      <c r="D45" s="374"/>
      <c r="E45" s="374"/>
      <c r="F45" s="374"/>
      <c r="G45" s="374"/>
      <c r="H45" s="374"/>
      <c r="K45" s="122"/>
      <c r="L45" s="1039"/>
      <c r="M45" s="126"/>
      <c r="N45" s="326"/>
      <c r="O45" s="171"/>
      <c r="P45"/>
      <c r="Q45" s="2"/>
    </row>
    <row r="46" spans="1:20" x14ac:dyDescent="0.25">
      <c r="A46" s="876"/>
      <c r="B46" s="4"/>
      <c r="C46" s="23"/>
      <c r="D46" s="23"/>
      <c r="E46" s="23"/>
      <c r="I46" s="23"/>
      <c r="J46" s="23"/>
      <c r="K46" s="23"/>
      <c r="L46" s="23"/>
      <c r="M46" s="23"/>
      <c r="N46" s="27"/>
      <c r="O46" s="27"/>
      <c r="P46" s="27"/>
      <c r="Q46" s="2">
        <f>SUM(Q43:Q45)</f>
        <v>1300</v>
      </c>
    </row>
    <row r="47" spans="1:20" x14ac:dyDescent="0.25">
      <c r="A47" s="876"/>
      <c r="B47" s="4"/>
      <c r="C47" s="23"/>
      <c r="D47" s="23"/>
      <c r="E47" s="23"/>
      <c r="I47" s="23"/>
      <c r="J47" s="23"/>
      <c r="K47" s="23"/>
      <c r="L47" s="23"/>
      <c r="M47" s="23"/>
      <c r="N47" s="27"/>
      <c r="O47" s="27"/>
      <c r="P47" s="27"/>
      <c r="Q47" s="2"/>
    </row>
    <row r="48" spans="1:20" x14ac:dyDescent="0.25">
      <c r="A48" s="876"/>
      <c r="B48" s="4"/>
      <c r="C48" s="23"/>
      <c r="D48" s="23"/>
      <c r="E48" s="23"/>
      <c r="I48" s="23"/>
      <c r="J48" s="23"/>
      <c r="K48" s="23"/>
      <c r="L48" s="23"/>
      <c r="M48" s="23"/>
      <c r="N48" s="27"/>
      <c r="O48" s="23"/>
      <c r="P48" s="23"/>
      <c r="Q48" s="23"/>
      <c r="R48" s="27"/>
      <c r="S48" s="27"/>
      <c r="T48" s="27"/>
    </row>
    <row r="49" spans="1:20" x14ac:dyDescent="0.25">
      <c r="A49" s="876"/>
      <c r="B49" s="4"/>
      <c r="C49" s="23"/>
      <c r="D49" s="23"/>
      <c r="E49" s="23"/>
      <c r="I49" s="23"/>
      <c r="J49" s="23"/>
      <c r="K49" s="23"/>
      <c r="L49" s="23"/>
      <c r="M49" s="23"/>
      <c r="N49" s="27"/>
      <c r="O49" s="23"/>
      <c r="P49" s="23"/>
      <c r="Q49" s="23"/>
      <c r="R49" s="27"/>
      <c r="S49" s="27"/>
      <c r="T49" s="27"/>
    </row>
    <row r="50" spans="1:20" ht="13.8" thickBot="1" x14ac:dyDescent="0.3">
      <c r="A50" s="876"/>
      <c r="B50" s="4"/>
      <c r="C50" s="23"/>
      <c r="D50" s="23"/>
      <c r="E50" s="23"/>
      <c r="I50" s="23"/>
      <c r="J50" s="23"/>
      <c r="K50" s="23"/>
      <c r="L50" s="23"/>
      <c r="M50" s="23"/>
      <c r="N50" s="27"/>
      <c r="O50" s="24"/>
      <c r="P50" s="23"/>
      <c r="Q50" s="23"/>
      <c r="R50" s="27"/>
      <c r="S50" s="27"/>
      <c r="T50" s="27"/>
    </row>
    <row r="51" spans="1:20" ht="13.8" thickTop="1" x14ac:dyDescent="0.25">
      <c r="A51" s="893"/>
      <c r="B51" s="452"/>
      <c r="C51" s="453" t="s">
        <v>127</v>
      </c>
      <c r="D51" s="454" t="s">
        <v>127</v>
      </c>
      <c r="E51" s="454" t="s">
        <v>127</v>
      </c>
      <c r="K51" s="455" t="s">
        <v>547</v>
      </c>
      <c r="L51" s="456" t="s">
        <v>9</v>
      </c>
      <c r="M51" s="457" t="s">
        <v>1073</v>
      </c>
      <c r="N51" s="456" t="s">
        <v>686</v>
      </c>
      <c r="O51" s="458"/>
      <c r="P51" s="457"/>
      <c r="Q51" s="23"/>
      <c r="R51" s="27"/>
      <c r="S51" s="27"/>
      <c r="T51" s="27"/>
    </row>
    <row r="52" spans="1:20" ht="13.8" thickBot="1" x14ac:dyDescent="0.3">
      <c r="A52" s="894" t="s">
        <v>128</v>
      </c>
      <c r="B52" s="459"/>
      <c r="C52" s="460" t="s">
        <v>347</v>
      </c>
      <c r="D52" s="460" t="s">
        <v>722</v>
      </c>
      <c r="E52" s="461" t="s">
        <v>737</v>
      </c>
      <c r="K52" s="462" t="s">
        <v>909</v>
      </c>
      <c r="L52" s="462" t="s">
        <v>910</v>
      </c>
      <c r="M52" s="461" t="s">
        <v>1075</v>
      </c>
      <c r="N52" s="463" t="s">
        <v>1075</v>
      </c>
      <c r="O52" s="464" t="s">
        <v>1074</v>
      </c>
      <c r="P52" s="462"/>
      <c r="Q52" s="23"/>
      <c r="R52" s="27"/>
      <c r="S52" s="27"/>
      <c r="T52" s="27"/>
    </row>
    <row r="53" spans="1:20" ht="13.8" thickTop="1" x14ac:dyDescent="0.25">
      <c r="A53" s="910"/>
      <c r="B53" s="480"/>
      <c r="C53" s="468"/>
      <c r="D53" s="468"/>
      <c r="E53" s="468"/>
      <c r="K53" s="469"/>
      <c r="L53" s="468"/>
      <c r="M53" s="471"/>
      <c r="N53" s="477"/>
      <c r="O53" s="470"/>
      <c r="P53" s="471"/>
      <c r="Q53" s="23"/>
      <c r="R53" s="27"/>
      <c r="S53" s="27"/>
      <c r="T53" s="27"/>
    </row>
    <row r="54" spans="1:20" x14ac:dyDescent="0.25">
      <c r="A54" s="907">
        <v>5111</v>
      </c>
      <c r="B54" s="472" t="s">
        <v>688</v>
      </c>
      <c r="C54" s="476">
        <v>131608</v>
      </c>
      <c r="D54" s="476">
        <v>136232.44</v>
      </c>
      <c r="E54" s="476">
        <v>139812.09</v>
      </c>
      <c r="K54" s="475">
        <f t="shared" ref="K54:K60" si="8">+M9</f>
        <v>153735</v>
      </c>
      <c r="L54" s="497">
        <f t="shared" ref="L54:L60" si="9">+O9</f>
        <v>156818</v>
      </c>
      <c r="M54" s="471">
        <f t="shared" ref="M54:M73" si="10">+L54-K54</f>
        <v>3083</v>
      </c>
      <c r="N54" s="477">
        <f>IF(K54+L54&lt;&gt;0,IF(K54&lt;&gt;0,IF(M54&lt;&gt;0,ROUND((+M54/K54),4),""),1),"")</f>
        <v>2.01E-2</v>
      </c>
      <c r="O54" s="470" t="s">
        <v>1686</v>
      </c>
      <c r="P54" s="471"/>
      <c r="Q54" s="23"/>
      <c r="R54" s="27"/>
      <c r="S54" s="27"/>
      <c r="T54" s="27"/>
    </row>
    <row r="55" spans="1:20" x14ac:dyDescent="0.25">
      <c r="A55" s="907">
        <v>5113</v>
      </c>
      <c r="B55" s="472" t="s">
        <v>689</v>
      </c>
      <c r="C55" s="476">
        <v>15961.4</v>
      </c>
      <c r="D55" s="476">
        <v>17462.41</v>
      </c>
      <c r="E55" s="476">
        <v>18590.79</v>
      </c>
      <c r="K55" s="475">
        <f t="shared" si="8"/>
        <v>19458</v>
      </c>
      <c r="L55" s="497">
        <f t="shared" si="9"/>
        <v>0</v>
      </c>
      <c r="M55" s="471">
        <f t="shared" si="10"/>
        <v>-19458</v>
      </c>
      <c r="N55" s="477">
        <f>IF(K55+L55&lt;&gt;0,IF(K55&lt;&gt;0,IF(M55&lt;&gt;0,ROUND((+M55/K55),4),""),1),"")</f>
        <v>-1</v>
      </c>
      <c r="O55" s="470" t="s">
        <v>1687</v>
      </c>
      <c r="P55" s="471"/>
      <c r="Q55" s="23"/>
      <c r="R55" s="27"/>
      <c r="S55" s="27"/>
      <c r="T55" s="27"/>
    </row>
    <row r="56" spans="1:20" x14ac:dyDescent="0.25">
      <c r="A56" s="907">
        <v>5113</v>
      </c>
      <c r="B56" s="472" t="s">
        <v>781</v>
      </c>
      <c r="C56" s="478"/>
      <c r="D56" s="478"/>
      <c r="E56" s="478"/>
      <c r="K56" s="475">
        <f t="shared" si="8"/>
        <v>1200</v>
      </c>
      <c r="L56" s="497">
        <f t="shared" si="9"/>
        <v>0</v>
      </c>
      <c r="M56" s="471">
        <f t="shared" si="10"/>
        <v>-1200</v>
      </c>
      <c r="N56" s="477">
        <f>IF(K56+L56&lt;&gt;0,IF(K56&lt;&gt;0,IF(M56&lt;&gt;0,ROUND((+M56/K56),4),""),1),"")</f>
        <v>-1</v>
      </c>
      <c r="O56" s="470" t="s">
        <v>1687</v>
      </c>
      <c r="P56" s="471"/>
      <c r="Q56" s="23"/>
      <c r="R56" s="27"/>
      <c r="S56" s="27"/>
      <c r="T56" s="27"/>
    </row>
    <row r="57" spans="1:20" ht="13.8" thickBot="1" x14ac:dyDescent="0.3">
      <c r="A57" s="907">
        <v>5144</v>
      </c>
      <c r="B57" s="472" t="s">
        <v>157</v>
      </c>
      <c r="C57" s="474">
        <v>200</v>
      </c>
      <c r="D57" s="474">
        <v>850</v>
      </c>
      <c r="E57" s="474">
        <v>850</v>
      </c>
      <c r="K57" s="475">
        <f t="shared" si="8"/>
        <v>1300</v>
      </c>
      <c r="L57" s="497">
        <f t="shared" si="9"/>
        <v>1300</v>
      </c>
      <c r="M57" s="471">
        <f t="shared" si="10"/>
        <v>0</v>
      </c>
      <c r="N57" s="477" t="str">
        <f>IF(K57+L57&lt;&gt;0,IF(K57&lt;&gt;0,IF(M57&lt;&gt;0,ROUND((+M57/K57),4),""),1),"")</f>
        <v/>
      </c>
      <c r="O57" s="470"/>
      <c r="P57" s="471"/>
      <c r="Q57" s="23"/>
      <c r="R57" s="27"/>
      <c r="S57" s="27"/>
      <c r="T57" s="27"/>
    </row>
    <row r="58" spans="1:20" x14ac:dyDescent="0.25">
      <c r="A58" s="907">
        <v>5145</v>
      </c>
      <c r="B58" s="501" t="s">
        <v>603</v>
      </c>
      <c r="C58" s="478"/>
      <c r="D58" s="478"/>
      <c r="E58" s="478"/>
      <c r="K58" s="475">
        <f t="shared" si="8"/>
        <v>300</v>
      </c>
      <c r="L58" s="497">
        <f t="shared" si="9"/>
        <v>300</v>
      </c>
      <c r="M58" s="471">
        <f t="shared" si="10"/>
        <v>0</v>
      </c>
      <c r="N58" s="477"/>
      <c r="O58" s="470"/>
      <c r="P58" s="471"/>
      <c r="Q58" s="23"/>
      <c r="R58" s="27"/>
      <c r="S58" s="27"/>
      <c r="T58" s="27"/>
    </row>
    <row r="59" spans="1:20" x14ac:dyDescent="0.25">
      <c r="A59" s="910">
        <v>5193</v>
      </c>
      <c r="B59" s="505" t="s">
        <v>699</v>
      </c>
      <c r="C59" s="478"/>
      <c r="D59" s="478"/>
      <c r="E59" s="478"/>
      <c r="K59" s="475">
        <f t="shared" si="8"/>
        <v>0</v>
      </c>
      <c r="L59" s="497">
        <f t="shared" si="9"/>
        <v>0</v>
      </c>
      <c r="M59" s="471">
        <f t="shared" si="10"/>
        <v>0</v>
      </c>
      <c r="N59" s="477"/>
      <c r="O59" s="470"/>
      <c r="P59" s="471"/>
      <c r="Q59" s="23"/>
      <c r="R59" s="27"/>
      <c r="S59" s="27"/>
      <c r="T59" s="27"/>
    </row>
    <row r="60" spans="1:20" x14ac:dyDescent="0.25">
      <c r="A60" s="907">
        <v>5194</v>
      </c>
      <c r="B60" s="501" t="s">
        <v>226</v>
      </c>
      <c r="C60" s="478"/>
      <c r="D60" s="478"/>
      <c r="E60" s="478"/>
      <c r="K60" s="475">
        <f t="shared" si="8"/>
        <v>0</v>
      </c>
      <c r="L60" s="497">
        <f t="shared" si="9"/>
        <v>0</v>
      </c>
      <c r="M60" s="471">
        <f t="shared" si="10"/>
        <v>0</v>
      </c>
      <c r="N60" s="477"/>
      <c r="O60" s="470"/>
      <c r="P60" s="471"/>
      <c r="Q60" s="23"/>
      <c r="R60" s="27"/>
      <c r="S60" s="27"/>
      <c r="T60" s="27"/>
    </row>
    <row r="61" spans="1:20" hidden="1" x14ac:dyDescent="0.25">
      <c r="A61" s="907">
        <v>5305</v>
      </c>
      <c r="B61" s="472" t="s">
        <v>148</v>
      </c>
      <c r="C61" s="476"/>
      <c r="D61" s="476">
        <v>0</v>
      </c>
      <c r="E61" s="476"/>
      <c r="K61" s="469">
        <f>+K18</f>
        <v>0</v>
      </c>
      <c r="L61" s="497">
        <f t="shared" ref="L61:L73" si="11">+O18</f>
        <v>0</v>
      </c>
      <c r="M61" s="471">
        <f t="shared" si="10"/>
        <v>0</v>
      </c>
      <c r="N61" s="477" t="str">
        <f t="shared" ref="N61:N73" si="12">IF(K61+L61&lt;&gt;0,IF(K61&lt;&gt;0,IF(M61&lt;&gt;0,ROUND((+M61/K61),4),""),1),"")</f>
        <v/>
      </c>
      <c r="O61" s="470"/>
      <c r="P61" s="471"/>
      <c r="Q61" s="23"/>
      <c r="R61" s="27"/>
      <c r="S61" s="27"/>
      <c r="T61" s="27"/>
    </row>
    <row r="62" spans="1:20" x14ac:dyDescent="0.25">
      <c r="A62" s="907">
        <v>5306</v>
      </c>
      <c r="B62" s="472" t="s">
        <v>726</v>
      </c>
      <c r="C62" s="476">
        <v>4620</v>
      </c>
      <c r="D62" s="476">
        <v>4620</v>
      </c>
      <c r="E62" s="476">
        <v>5451</v>
      </c>
      <c r="K62" s="469">
        <f t="shared" ref="K62:K73" si="13">+M19</f>
        <v>6200</v>
      </c>
      <c r="L62" s="497">
        <f t="shared" si="11"/>
        <v>6200</v>
      </c>
      <c r="M62" s="471">
        <f t="shared" si="10"/>
        <v>0</v>
      </c>
      <c r="N62" s="477" t="str">
        <f t="shared" si="12"/>
        <v/>
      </c>
      <c r="O62" s="470"/>
      <c r="P62" s="471"/>
      <c r="Q62" s="23"/>
      <c r="R62" s="27"/>
      <c r="S62" s="27"/>
      <c r="T62" s="27"/>
    </row>
    <row r="63" spans="1:20" x14ac:dyDescent="0.25">
      <c r="A63" s="907">
        <v>5314</v>
      </c>
      <c r="B63" s="472" t="s">
        <v>139</v>
      </c>
      <c r="C63" s="476"/>
      <c r="D63" s="476">
        <v>110</v>
      </c>
      <c r="E63" s="476"/>
      <c r="K63" s="469">
        <f t="shared" si="13"/>
        <v>200</v>
      </c>
      <c r="L63" s="497">
        <f t="shared" si="11"/>
        <v>200</v>
      </c>
      <c r="M63" s="471">
        <f t="shared" si="10"/>
        <v>0</v>
      </c>
      <c r="N63" s="477" t="str">
        <f t="shared" si="12"/>
        <v/>
      </c>
      <c r="O63" s="470"/>
      <c r="P63" s="471"/>
      <c r="Q63" s="23"/>
      <c r="R63" s="4"/>
      <c r="S63" s="4"/>
      <c r="T63" s="4"/>
    </row>
    <row r="64" spans="1:20" x14ac:dyDescent="0.25">
      <c r="A64" s="907">
        <v>5315</v>
      </c>
      <c r="B64" s="472" t="s">
        <v>1055</v>
      </c>
      <c r="C64" s="476"/>
      <c r="D64" s="476"/>
      <c r="E64" s="476"/>
      <c r="K64" s="469">
        <f t="shared" si="13"/>
        <v>2200</v>
      </c>
      <c r="L64" s="497">
        <f t="shared" si="11"/>
        <v>2200</v>
      </c>
      <c r="M64" s="471">
        <f t="shared" si="10"/>
        <v>0</v>
      </c>
      <c r="N64" s="477" t="str">
        <f t="shared" si="12"/>
        <v/>
      </c>
      <c r="O64" s="470"/>
      <c r="P64" s="471"/>
      <c r="Q64" s="23"/>
      <c r="R64" s="4"/>
      <c r="S64" s="4"/>
      <c r="T64" s="4"/>
    </row>
    <row r="65" spans="1:20" hidden="1" x14ac:dyDescent="0.25">
      <c r="A65" s="907">
        <v>5341</v>
      </c>
      <c r="B65" s="472" t="s">
        <v>141</v>
      </c>
      <c r="C65" s="476">
        <v>425.78</v>
      </c>
      <c r="D65" s="476">
        <v>415.92</v>
      </c>
      <c r="E65" s="476">
        <v>414.96</v>
      </c>
      <c r="K65" s="469">
        <f t="shared" si="13"/>
        <v>0</v>
      </c>
      <c r="L65" s="497">
        <f t="shared" si="11"/>
        <v>0</v>
      </c>
      <c r="M65" s="471">
        <f t="shared" si="10"/>
        <v>0</v>
      </c>
      <c r="N65" s="477" t="str">
        <f t="shared" si="12"/>
        <v/>
      </c>
      <c r="O65" s="470"/>
      <c r="P65" s="471"/>
      <c r="Q65" s="23"/>
      <c r="R65" s="4"/>
      <c r="S65" s="4"/>
      <c r="T65" s="4"/>
    </row>
    <row r="66" spans="1:20" x14ac:dyDescent="0.25">
      <c r="A66" s="907">
        <v>5344</v>
      </c>
      <c r="B66" s="472" t="s">
        <v>142</v>
      </c>
      <c r="C66" s="476">
        <v>12123.38</v>
      </c>
      <c r="D66" s="476">
        <v>12087.96</v>
      </c>
      <c r="E66" s="476">
        <v>13215.57</v>
      </c>
      <c r="K66" s="469">
        <f t="shared" si="13"/>
        <v>14000</v>
      </c>
      <c r="L66" s="497">
        <f t="shared" si="11"/>
        <v>15000</v>
      </c>
      <c r="M66" s="471">
        <f t="shared" si="10"/>
        <v>1000</v>
      </c>
      <c r="N66" s="477">
        <f t="shared" si="12"/>
        <v>7.1400000000000005E-2</v>
      </c>
      <c r="O66" s="470" t="s">
        <v>1688</v>
      </c>
      <c r="P66" s="471"/>
      <c r="Q66" s="23"/>
      <c r="R66" s="4"/>
      <c r="S66" s="4"/>
      <c r="T66" s="4"/>
    </row>
    <row r="67" spans="1:20" x14ac:dyDescent="0.25">
      <c r="A67" s="907">
        <v>5345</v>
      </c>
      <c r="B67" s="472" t="s">
        <v>143</v>
      </c>
      <c r="C67" s="468"/>
      <c r="D67" s="468"/>
      <c r="E67" s="468"/>
      <c r="K67" s="469">
        <f t="shared" si="13"/>
        <v>0</v>
      </c>
      <c r="L67" s="497">
        <f t="shared" si="11"/>
        <v>0</v>
      </c>
      <c r="M67" s="471">
        <f t="shared" si="10"/>
        <v>0</v>
      </c>
      <c r="N67" s="477" t="str">
        <f t="shared" si="12"/>
        <v/>
      </c>
      <c r="O67" s="470"/>
      <c r="P67" s="471"/>
      <c r="Q67" s="23"/>
      <c r="R67" s="4"/>
      <c r="S67" s="4"/>
      <c r="T67" s="4"/>
    </row>
    <row r="68" spans="1:20" x14ac:dyDescent="0.25">
      <c r="A68" s="907">
        <v>5420</v>
      </c>
      <c r="B68" s="472" t="s">
        <v>144</v>
      </c>
      <c r="C68" s="468">
        <v>4414.04</v>
      </c>
      <c r="D68" s="468">
        <v>6221.32</v>
      </c>
      <c r="E68" s="468">
        <v>3872.38</v>
      </c>
      <c r="K68" s="469">
        <f t="shared" si="13"/>
        <v>6400</v>
      </c>
      <c r="L68" s="497">
        <f t="shared" si="11"/>
        <v>7000</v>
      </c>
      <c r="M68" s="471">
        <f t="shared" si="10"/>
        <v>600</v>
      </c>
      <c r="N68" s="477">
        <f t="shared" si="12"/>
        <v>9.3799999999999994E-2</v>
      </c>
      <c r="O68" s="470" t="s">
        <v>1692</v>
      </c>
      <c r="P68" s="471"/>
      <c r="Q68" s="23"/>
      <c r="R68" s="4"/>
      <c r="S68" s="4"/>
      <c r="T68" s="4"/>
    </row>
    <row r="69" spans="1:20" x14ac:dyDescent="0.25">
      <c r="A69" s="907">
        <v>5590</v>
      </c>
      <c r="B69" s="472" t="s">
        <v>1001</v>
      </c>
      <c r="C69" s="468"/>
      <c r="D69" s="468"/>
      <c r="E69" s="468"/>
      <c r="K69" s="469">
        <f t="shared" si="13"/>
        <v>0</v>
      </c>
      <c r="L69" s="497">
        <f t="shared" si="11"/>
        <v>0</v>
      </c>
      <c r="M69" s="471">
        <f t="shared" si="10"/>
        <v>0</v>
      </c>
      <c r="N69" s="477" t="str">
        <f t="shared" si="12"/>
        <v/>
      </c>
      <c r="O69" s="470"/>
      <c r="P69" s="471"/>
      <c r="Q69" s="23"/>
      <c r="R69" s="4"/>
      <c r="S69" s="4"/>
      <c r="T69" s="4"/>
    </row>
    <row r="70" spans="1:20" x14ac:dyDescent="0.25">
      <c r="A70" s="907">
        <v>5710</v>
      </c>
      <c r="B70" s="472" t="s">
        <v>535</v>
      </c>
      <c r="C70" s="468">
        <v>916.62</v>
      </c>
      <c r="D70" s="468">
        <v>1018.29</v>
      </c>
      <c r="E70" s="468">
        <v>763.19</v>
      </c>
      <c r="K70" s="469">
        <f t="shared" si="13"/>
        <v>750</v>
      </c>
      <c r="L70" s="497">
        <f t="shared" si="11"/>
        <v>600</v>
      </c>
      <c r="M70" s="471">
        <f t="shared" si="10"/>
        <v>-150</v>
      </c>
      <c r="N70" s="477">
        <f t="shared" si="12"/>
        <v>-0.2</v>
      </c>
      <c r="O70" s="470" t="s">
        <v>1689</v>
      </c>
      <c r="P70" s="471"/>
      <c r="Q70" s="23"/>
      <c r="R70" s="4"/>
      <c r="S70" s="4"/>
      <c r="T70" s="4"/>
    </row>
    <row r="71" spans="1:20" x14ac:dyDescent="0.25">
      <c r="A71" s="907">
        <v>5730</v>
      </c>
      <c r="B71" s="472" t="s">
        <v>147</v>
      </c>
      <c r="C71" s="476">
        <v>100</v>
      </c>
      <c r="D71" s="476">
        <v>100</v>
      </c>
      <c r="E71" s="476">
        <v>60</v>
      </c>
      <c r="K71" s="469">
        <f t="shared" si="13"/>
        <v>120</v>
      </c>
      <c r="L71" s="497">
        <f t="shared" si="11"/>
        <v>120</v>
      </c>
      <c r="M71" s="471">
        <f t="shared" si="10"/>
        <v>0</v>
      </c>
      <c r="N71" s="477" t="str">
        <f t="shared" si="12"/>
        <v/>
      </c>
      <c r="O71" s="470"/>
      <c r="P71" s="471"/>
      <c r="Q71" s="23"/>
      <c r="R71" s="4"/>
      <c r="S71" s="4"/>
      <c r="T71" s="4"/>
    </row>
    <row r="72" spans="1:20" x14ac:dyDescent="0.25">
      <c r="A72" s="907">
        <v>5740</v>
      </c>
      <c r="B72" s="472" t="s">
        <v>154</v>
      </c>
      <c r="C72" s="476">
        <v>2197.5</v>
      </c>
      <c r="D72" s="476">
        <v>2197.5</v>
      </c>
      <c r="E72" s="476">
        <v>2197.5</v>
      </c>
      <c r="K72" s="469">
        <f t="shared" si="13"/>
        <v>3100</v>
      </c>
      <c r="L72" s="497">
        <f t="shared" si="11"/>
        <v>3150</v>
      </c>
      <c r="M72" s="471">
        <f t="shared" si="10"/>
        <v>50</v>
      </c>
      <c r="N72" s="477">
        <f t="shared" si="12"/>
        <v>1.61E-2</v>
      </c>
      <c r="O72" s="470" t="s">
        <v>1690</v>
      </c>
      <c r="P72" s="471"/>
      <c r="Q72" s="23"/>
      <c r="R72" s="4"/>
      <c r="S72" s="4"/>
      <c r="T72" s="4"/>
    </row>
    <row r="73" spans="1:20" ht="13.8" thickBot="1" x14ac:dyDescent="0.3">
      <c r="A73" s="907">
        <v>5781</v>
      </c>
      <c r="B73" s="472" t="s">
        <v>155</v>
      </c>
      <c r="C73" s="474">
        <v>18473.189999999999</v>
      </c>
      <c r="D73" s="474">
        <v>15994.06</v>
      </c>
      <c r="E73" s="474">
        <v>21530.9</v>
      </c>
      <c r="K73" s="469">
        <f t="shared" si="13"/>
        <v>20000</v>
      </c>
      <c r="L73" s="497">
        <f t="shared" si="11"/>
        <v>23000</v>
      </c>
      <c r="M73" s="471">
        <f t="shared" si="10"/>
        <v>3000</v>
      </c>
      <c r="N73" s="477">
        <f t="shared" si="12"/>
        <v>0.15</v>
      </c>
      <c r="O73" s="470" t="s">
        <v>1691</v>
      </c>
      <c r="P73" s="471"/>
      <c r="Q73" s="23"/>
      <c r="R73" s="4"/>
      <c r="S73" s="4"/>
      <c r="T73" s="4"/>
    </row>
    <row r="74" spans="1:20" x14ac:dyDescent="0.25">
      <c r="A74" s="876"/>
      <c r="B74" s="4"/>
      <c r="C74" s="23"/>
      <c r="D74" s="23"/>
      <c r="E74" s="23"/>
      <c r="F74" s="23"/>
      <c r="G74" s="23"/>
      <c r="K74" s="23"/>
      <c r="L74" s="23"/>
      <c r="M74" s="23"/>
      <c r="N74" s="4"/>
      <c r="O74" s="23"/>
      <c r="P74" s="23"/>
      <c r="Q74" s="23"/>
      <c r="R74" s="4"/>
      <c r="S74" s="4"/>
      <c r="T74" s="4"/>
    </row>
    <row r="75" spans="1:20" x14ac:dyDescent="0.25">
      <c r="A75" s="876"/>
      <c r="B75" s="4" t="s">
        <v>1363</v>
      </c>
      <c r="C75" s="23"/>
      <c r="D75" s="23"/>
      <c r="E75" s="23"/>
      <c r="F75" s="23"/>
      <c r="G75" s="23"/>
      <c r="K75" s="742">
        <f>SUM(K54:K73)</f>
        <v>228963</v>
      </c>
      <c r="L75" s="742">
        <f>SUM(L54:L73)</f>
        <v>215888</v>
      </c>
      <c r="M75" s="202">
        <f>+L75-K75</f>
        <v>-13075</v>
      </c>
      <c r="N75" s="743">
        <f>IF(K75+L75&lt;&gt;0,IF(K75&lt;&gt;0,IF(M75&lt;&gt;0,ROUND((+M75/K75),4),""),1),"")</f>
        <v>-5.7099999999999998E-2</v>
      </c>
      <c r="O75" s="23"/>
      <c r="P75" s="23"/>
      <c r="Q75" s="23"/>
      <c r="R75" s="4"/>
      <c r="S75" s="4"/>
      <c r="T75" s="4"/>
    </row>
    <row r="76" spans="1:20" ht="15.6" x14ac:dyDescent="0.25">
      <c r="A76" s="939" t="s">
        <v>1153</v>
      </c>
      <c r="B76" s="4"/>
      <c r="C76" s="23"/>
      <c r="D76" s="23"/>
      <c r="E76" s="23"/>
      <c r="F76" s="23"/>
      <c r="G76" s="23"/>
      <c r="H76" s="23"/>
      <c r="I76" s="23"/>
      <c r="J76" s="23"/>
      <c r="K76" s="23"/>
      <c r="L76" s="23"/>
      <c r="M76" s="23"/>
      <c r="N76" s="4"/>
      <c r="O76" s="23"/>
      <c r="P76" s="23"/>
      <c r="Q76" s="23"/>
      <c r="R76" s="4"/>
      <c r="S76" s="4"/>
      <c r="T76" s="4"/>
    </row>
    <row r="77" spans="1:20" x14ac:dyDescent="0.25">
      <c r="A77" s="876"/>
      <c r="B77" s="4"/>
      <c r="C77" s="23"/>
      <c r="D77" s="23"/>
      <c r="E77" s="23"/>
      <c r="F77" s="23"/>
      <c r="G77" s="23"/>
      <c r="H77" s="23"/>
      <c r="I77" s="23"/>
      <c r="J77" s="23"/>
      <c r="K77" s="23"/>
      <c r="L77" s="23"/>
      <c r="M77" s="23"/>
      <c r="N77" s="4"/>
      <c r="O77" s="23"/>
      <c r="P77" s="23"/>
      <c r="Q77" s="23"/>
      <c r="R77" s="4"/>
      <c r="S77" s="4"/>
      <c r="T77" s="4"/>
    </row>
    <row r="78" spans="1:20" x14ac:dyDescent="0.25">
      <c r="A78" s="876"/>
      <c r="B78" s="4"/>
      <c r="C78" s="23"/>
      <c r="D78" s="23"/>
      <c r="E78" s="23"/>
      <c r="F78" s="23"/>
      <c r="G78" s="23"/>
      <c r="H78" s="23"/>
      <c r="I78" s="23"/>
      <c r="J78" s="23"/>
      <c r="K78" s="23"/>
      <c r="L78" s="23"/>
      <c r="M78" s="23"/>
      <c r="N78" s="4"/>
      <c r="O78" s="23"/>
      <c r="P78" s="23"/>
      <c r="Q78" s="23"/>
      <c r="R78" s="4"/>
      <c r="S78" s="4"/>
      <c r="T78" s="4"/>
    </row>
    <row r="79" spans="1:20" x14ac:dyDescent="0.25">
      <c r="A79" s="876"/>
      <c r="B79" s="4"/>
      <c r="C79" s="23"/>
      <c r="D79" s="23"/>
      <c r="E79" s="23"/>
      <c r="F79" s="23"/>
      <c r="G79" s="23"/>
      <c r="H79" s="23"/>
      <c r="I79" s="23"/>
      <c r="J79" s="23"/>
      <c r="K79" s="23"/>
      <c r="L79" s="23"/>
      <c r="M79" s="23"/>
      <c r="N79" s="4"/>
      <c r="O79" s="23"/>
      <c r="P79" s="23"/>
      <c r="Q79" s="23"/>
      <c r="R79" s="4"/>
      <c r="S79" s="4"/>
      <c r="T79" s="4"/>
    </row>
    <row r="80" spans="1:20" x14ac:dyDescent="0.25">
      <c r="A80" s="876"/>
      <c r="B80" s="4"/>
      <c r="C80" s="23"/>
      <c r="D80" s="23"/>
      <c r="E80" s="23"/>
      <c r="F80" s="23"/>
      <c r="G80" s="23"/>
      <c r="H80" s="23"/>
      <c r="I80" s="23"/>
      <c r="J80" s="23"/>
      <c r="K80" s="23"/>
      <c r="L80" s="23"/>
      <c r="M80" s="23"/>
      <c r="N80" s="4"/>
      <c r="O80" s="23"/>
      <c r="P80" s="23"/>
      <c r="Q80" s="23"/>
      <c r="R80" s="4"/>
      <c r="S80" s="4"/>
      <c r="T80" s="4"/>
    </row>
    <row r="81" spans="3:3" x14ac:dyDescent="0.25">
      <c r="C81" s="114"/>
    </row>
    <row r="82" spans="3:3" x14ac:dyDescent="0.25">
      <c r="C82" s="114"/>
    </row>
    <row r="83" spans="3:3" x14ac:dyDescent="0.25">
      <c r="C83" s="114"/>
    </row>
    <row r="84" spans="3:3" x14ac:dyDescent="0.25">
      <c r="C84" s="114"/>
    </row>
    <row r="85" spans="3:3" x14ac:dyDescent="0.25">
      <c r="C85" s="114"/>
    </row>
    <row r="86" spans="3:3" x14ac:dyDescent="0.25">
      <c r="C86" s="114"/>
    </row>
    <row r="87" spans="3:3" x14ac:dyDescent="0.25">
      <c r="C87" s="114"/>
    </row>
    <row r="88" spans="3:3" x14ac:dyDescent="0.25">
      <c r="C88" s="114"/>
    </row>
    <row r="89" spans="3:3" x14ac:dyDescent="0.25">
      <c r="C89" s="114"/>
    </row>
    <row r="90" spans="3:3" x14ac:dyDescent="0.25">
      <c r="C90" s="114"/>
    </row>
    <row r="91" spans="3:3" x14ac:dyDescent="0.25">
      <c r="C91" s="114"/>
    </row>
    <row r="92" spans="3:3" x14ac:dyDescent="0.25">
      <c r="C92" s="114"/>
    </row>
    <row r="93" spans="3:3" x14ac:dyDescent="0.25">
      <c r="C93" s="114"/>
    </row>
    <row r="94" spans="3:3" x14ac:dyDescent="0.25">
      <c r="C94" s="114"/>
    </row>
    <row r="95" spans="3:3" x14ac:dyDescent="0.25">
      <c r="C95" s="114"/>
    </row>
    <row r="96" spans="3:3" x14ac:dyDescent="0.25">
      <c r="C96" s="114"/>
    </row>
    <row r="97" spans="3:3" x14ac:dyDescent="0.25">
      <c r="C97" s="114"/>
    </row>
    <row r="98" spans="3:3" x14ac:dyDescent="0.25">
      <c r="C98" s="114"/>
    </row>
    <row r="99" spans="3:3" x14ac:dyDescent="0.25">
      <c r="C99" s="114"/>
    </row>
    <row r="100" spans="3:3" x14ac:dyDescent="0.25">
      <c r="C100" s="114"/>
    </row>
    <row r="101" spans="3:3" x14ac:dyDescent="0.25">
      <c r="C101" s="114"/>
    </row>
    <row r="102" spans="3:3" x14ac:dyDescent="0.25">
      <c r="C102" s="114"/>
    </row>
    <row r="103" spans="3:3" x14ac:dyDescent="0.25">
      <c r="C103" s="114"/>
    </row>
    <row r="104" spans="3:3" x14ac:dyDescent="0.25">
      <c r="C104" s="114"/>
    </row>
    <row r="105" spans="3:3" x14ac:dyDescent="0.25">
      <c r="C105" s="114"/>
    </row>
    <row r="106" spans="3:3" x14ac:dyDescent="0.25">
      <c r="C106" s="114"/>
    </row>
    <row r="107" spans="3:3" x14ac:dyDescent="0.25">
      <c r="C107" s="114"/>
    </row>
    <row r="108" spans="3:3" x14ac:dyDescent="0.25">
      <c r="C108" s="114"/>
    </row>
    <row r="109" spans="3:3" x14ac:dyDescent="0.25">
      <c r="C109" s="114"/>
    </row>
    <row r="110" spans="3:3" x14ac:dyDescent="0.25">
      <c r="C110" s="114"/>
    </row>
    <row r="111" spans="3:3" x14ac:dyDescent="0.25">
      <c r="C111" s="114"/>
    </row>
    <row r="112" spans="3:3" x14ac:dyDescent="0.25">
      <c r="C112" s="114"/>
    </row>
    <row r="113" spans="3:3" x14ac:dyDescent="0.25">
      <c r="C113" s="114"/>
    </row>
    <row r="114" spans="3:3" x14ac:dyDescent="0.25">
      <c r="C114" s="114"/>
    </row>
    <row r="115" spans="3:3" x14ac:dyDescent="0.25">
      <c r="C115" s="114"/>
    </row>
    <row r="116" spans="3:3" x14ac:dyDescent="0.25">
      <c r="C116" s="114"/>
    </row>
    <row r="117" spans="3:3" x14ac:dyDescent="0.25">
      <c r="C117" s="114"/>
    </row>
    <row r="118" spans="3:3" x14ac:dyDescent="0.25">
      <c r="C118" s="114"/>
    </row>
    <row r="119" spans="3:3" x14ac:dyDescent="0.25">
      <c r="C119" s="114"/>
    </row>
    <row r="120" spans="3:3" x14ac:dyDescent="0.25">
      <c r="C120" s="114"/>
    </row>
    <row r="121" spans="3:3" x14ac:dyDescent="0.25">
      <c r="C121" s="114"/>
    </row>
    <row r="122" spans="3:3" x14ac:dyDescent="0.25">
      <c r="C122" s="114"/>
    </row>
    <row r="123" spans="3:3" x14ac:dyDescent="0.25">
      <c r="C123" s="114"/>
    </row>
    <row r="124" spans="3:3" x14ac:dyDescent="0.25">
      <c r="C124" s="114"/>
    </row>
    <row r="125" spans="3:3" x14ac:dyDescent="0.25">
      <c r="C125" s="114"/>
    </row>
    <row r="126" spans="3:3" x14ac:dyDescent="0.25">
      <c r="C126" s="114"/>
    </row>
    <row r="127" spans="3:3" x14ac:dyDescent="0.25">
      <c r="C127" s="114"/>
    </row>
    <row r="128" spans="3:3" x14ac:dyDescent="0.25">
      <c r="C128" s="114"/>
    </row>
    <row r="129" spans="3:3" x14ac:dyDescent="0.25">
      <c r="C129" s="114"/>
    </row>
    <row r="130" spans="3:3" x14ac:dyDescent="0.25">
      <c r="C130" s="114"/>
    </row>
    <row r="131" spans="3:3" x14ac:dyDescent="0.25">
      <c r="C131" s="114"/>
    </row>
    <row r="132" spans="3:3" x14ac:dyDescent="0.25">
      <c r="C132" s="114"/>
    </row>
  </sheetData>
  <phoneticPr fontId="0" type="noConversion"/>
  <hyperlinks>
    <hyperlink ref="A1" location="'Working Budget with funding det'!A1" display="Main " xr:uid="{00000000-0004-0000-1000-000000000000}"/>
    <hyperlink ref="B1" location="'Table of Contents'!A1" display="TOC" xr:uid="{00000000-0004-0000-1000-000001000000}"/>
  </hyperlinks>
  <pageMargins left="0.75" right="0.75" top="1" bottom="1" header="0.5" footer="0.5"/>
  <pageSetup scale="90" fitToHeight="2" orientation="landscape" horizontalDpi="300" verticalDpi="300" r:id="rId1"/>
  <headerFooter alignWithMargins="0">
    <oddFooter>&amp;L&amp;D     &amp;T&amp;C&amp;F&amp;R&amp;A   &amp;P</oddFooter>
  </headerFooter>
  <rowBreaks count="1" manualBreakCount="1">
    <brk id="36" max="1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F0"/>
    <pageSetUpPr fitToPage="1"/>
  </sheetPr>
  <dimension ref="A1:T169"/>
  <sheetViews>
    <sheetView workbookViewId="0">
      <selection activeCell="N2" sqref="N2"/>
    </sheetView>
  </sheetViews>
  <sheetFormatPr defaultRowHeight="13.2" x14ac:dyDescent="0.25"/>
  <cols>
    <col min="1" max="1" width="8.77734375" style="885"/>
    <col min="2" max="2" width="36.6640625" customWidth="1"/>
    <col min="3" max="3" width="14.44140625" style="1" hidden="1" customWidth="1"/>
    <col min="4" max="10" width="14.44140625" style="114" hidden="1" customWidth="1"/>
    <col min="11" max="13" width="14.44140625" style="114" customWidth="1"/>
    <col min="14" max="14" width="14.44140625" customWidth="1"/>
    <col min="15" max="16" width="14.44140625" style="1" customWidth="1"/>
    <col min="17" max="19" width="14.44140625" customWidth="1"/>
    <col min="20" max="20" width="14.6640625" style="2" customWidth="1"/>
  </cols>
  <sheetData>
    <row r="1" spans="1:19" x14ac:dyDescent="0.25">
      <c r="A1" s="874" t="s">
        <v>1021</v>
      </c>
      <c r="B1" s="371" t="s">
        <v>1348</v>
      </c>
      <c r="P1"/>
    </row>
    <row r="2" spans="1:19" ht="13.8" x14ac:dyDescent="0.25">
      <c r="A2" s="875" t="s">
        <v>259</v>
      </c>
      <c r="B2" s="45"/>
      <c r="E2" s="141"/>
      <c r="I2" s="141" t="s">
        <v>257</v>
      </c>
      <c r="J2" s="141"/>
      <c r="K2" s="141"/>
      <c r="L2" s="141"/>
      <c r="M2" s="141"/>
      <c r="N2" s="61" t="s">
        <v>285</v>
      </c>
      <c r="P2" s="46" t="s">
        <v>481</v>
      </c>
    </row>
    <row r="3" spans="1:19" ht="13.8" thickBot="1" x14ac:dyDescent="0.3">
      <c r="A3" s="876"/>
      <c r="B3" s="4"/>
      <c r="C3" s="23"/>
      <c r="D3" s="23"/>
      <c r="E3" s="23"/>
      <c r="F3" s="23"/>
      <c r="G3" s="23"/>
      <c r="H3" s="23"/>
      <c r="I3" s="23"/>
      <c r="J3" s="23"/>
      <c r="K3" s="23"/>
      <c r="L3" s="23"/>
      <c r="M3" s="23"/>
      <c r="N3" s="4"/>
      <c r="O3" s="23"/>
      <c r="P3" s="4"/>
      <c r="S3" s="4"/>
    </row>
    <row r="4" spans="1:19" ht="13.8" thickTop="1" x14ac:dyDescent="0.25">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t="s">
        <v>910</v>
      </c>
    </row>
    <row r="5" spans="1:19" x14ac:dyDescent="0.25">
      <c r="A5" s="878"/>
      <c r="B5" s="209"/>
      <c r="C5" s="127"/>
      <c r="D5" s="87"/>
      <c r="E5" s="113"/>
      <c r="F5" s="87"/>
      <c r="G5" s="87"/>
      <c r="H5" s="113"/>
      <c r="I5" s="290"/>
      <c r="J5" s="290"/>
      <c r="K5" s="290"/>
      <c r="L5" s="290"/>
      <c r="M5" s="290"/>
      <c r="N5" s="113" t="s">
        <v>515</v>
      </c>
      <c r="O5" s="88" t="s">
        <v>7</v>
      </c>
      <c r="P5" s="203" t="s">
        <v>782</v>
      </c>
    </row>
    <row r="6" spans="1:19" x14ac:dyDescent="0.25">
      <c r="A6" s="878"/>
      <c r="B6" s="209"/>
      <c r="C6" s="127"/>
      <c r="D6" s="127"/>
      <c r="E6" s="127"/>
      <c r="F6" s="127"/>
      <c r="G6" s="127"/>
      <c r="H6" s="127"/>
      <c r="I6" s="88"/>
      <c r="J6" s="88"/>
      <c r="K6" s="88"/>
      <c r="L6" s="88"/>
      <c r="M6" s="88"/>
      <c r="N6" s="127"/>
      <c r="O6" s="88" t="s">
        <v>8</v>
      </c>
      <c r="P6" s="47" t="s">
        <v>543</v>
      </c>
    </row>
    <row r="7" spans="1:19"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44561</v>
      </c>
      <c r="O7" s="9" t="s">
        <v>9</v>
      </c>
      <c r="P7" s="9" t="s">
        <v>546</v>
      </c>
    </row>
    <row r="8" spans="1:19" ht="13.8" thickTop="1" x14ac:dyDescent="0.25">
      <c r="A8" s="908"/>
      <c r="B8" s="210"/>
      <c r="C8" s="132"/>
      <c r="D8" s="18"/>
      <c r="E8" s="18"/>
      <c r="F8" s="18"/>
      <c r="G8" s="18"/>
      <c r="H8" s="18"/>
      <c r="I8" s="18"/>
      <c r="J8" s="18"/>
      <c r="K8" s="19"/>
      <c r="L8" s="19"/>
      <c r="M8" s="19"/>
      <c r="N8" s="18"/>
      <c r="O8" s="19"/>
      <c r="P8" s="19"/>
    </row>
    <row r="9" spans="1:19" x14ac:dyDescent="0.25">
      <c r="A9" s="881">
        <v>5301</v>
      </c>
      <c r="B9" s="63" t="s">
        <v>156</v>
      </c>
      <c r="C9" s="130">
        <v>13833</v>
      </c>
      <c r="D9" s="13">
        <v>14157.5</v>
      </c>
      <c r="E9" s="13">
        <v>18901.330000000002</v>
      </c>
      <c r="F9" s="13">
        <v>13281.7</v>
      </c>
      <c r="G9" s="13">
        <v>26679.23</v>
      </c>
      <c r="H9" s="13">
        <v>19011.8</v>
      </c>
      <c r="I9" s="13">
        <v>14065.25</v>
      </c>
      <c r="J9" s="13">
        <v>14591.66</v>
      </c>
      <c r="K9" s="14">
        <v>20000</v>
      </c>
      <c r="L9" s="13">
        <v>3810.5</v>
      </c>
      <c r="M9" s="14">
        <v>25000</v>
      </c>
      <c r="N9" s="13">
        <v>1989</v>
      </c>
      <c r="O9" s="14">
        <v>20000</v>
      </c>
      <c r="P9" s="14"/>
    </row>
    <row r="10" spans="1:19" x14ac:dyDescent="0.25">
      <c r="A10" s="881">
        <v>5302</v>
      </c>
      <c r="B10" s="63" t="s">
        <v>151</v>
      </c>
      <c r="C10" s="130">
        <v>65458.74</v>
      </c>
      <c r="D10" s="13">
        <v>54064.83</v>
      </c>
      <c r="E10" s="13">
        <v>85357.14</v>
      </c>
      <c r="F10" s="13">
        <v>56286.879999999997</v>
      </c>
      <c r="G10" s="13">
        <v>68311.7</v>
      </c>
      <c r="H10" s="13">
        <v>59740.73</v>
      </c>
      <c r="I10" s="13">
        <v>47985.74</v>
      </c>
      <c r="J10" s="13">
        <v>32798.629999999997</v>
      </c>
      <c r="K10" s="14">
        <v>60000</v>
      </c>
      <c r="L10" s="13">
        <v>47217.58</v>
      </c>
      <c r="M10" s="14">
        <v>60000</v>
      </c>
      <c r="N10" s="13">
        <v>14115.66</v>
      </c>
      <c r="O10" s="14">
        <v>55000</v>
      </c>
      <c r="P10" s="38"/>
    </row>
    <row r="11" spans="1:19" ht="13.8" thickBot="1" x14ac:dyDescent="0.3">
      <c r="A11" s="908">
        <v>5303</v>
      </c>
      <c r="B11" s="110" t="s">
        <v>1003</v>
      </c>
      <c r="C11" s="718"/>
      <c r="D11" s="39"/>
      <c r="E11" s="39"/>
      <c r="F11" s="39">
        <v>5000</v>
      </c>
      <c r="G11" s="39"/>
      <c r="H11" s="39"/>
      <c r="I11" s="39"/>
      <c r="J11" s="39"/>
      <c r="K11" s="40"/>
      <c r="L11" s="39"/>
      <c r="M11" s="40"/>
      <c r="N11" s="39"/>
      <c r="O11" s="40"/>
      <c r="P11" s="16"/>
    </row>
    <row r="12" spans="1:19" x14ac:dyDescent="0.25">
      <c r="A12" s="881"/>
      <c r="B12" s="64" t="s">
        <v>449</v>
      </c>
      <c r="C12" s="132">
        <f t="shared" ref="C12:O12" si="0">SUM(C9:C11)</f>
        <v>79291.739999999991</v>
      </c>
      <c r="D12" s="18">
        <f t="shared" si="0"/>
        <v>68222.33</v>
      </c>
      <c r="E12" s="18">
        <f t="shared" si="0"/>
        <v>104258.47</v>
      </c>
      <c r="F12" s="18">
        <f>SUM(F9:F11)</f>
        <v>74568.58</v>
      </c>
      <c r="G12" s="18">
        <f>SUM(G9:G11)</f>
        <v>94990.93</v>
      </c>
      <c r="H12" s="18">
        <f>SUM(H9:H11)</f>
        <v>78752.53</v>
      </c>
      <c r="I12" s="18">
        <f t="shared" si="0"/>
        <v>62050.99</v>
      </c>
      <c r="J12" s="18">
        <f t="shared" ref="J12" si="1">SUM(J9:J11)</f>
        <v>47390.289999999994</v>
      </c>
      <c r="K12" s="19">
        <f t="shared" ref="K12:M12" si="2">SUM(K9:K11)</f>
        <v>80000</v>
      </c>
      <c r="L12" s="18">
        <f t="shared" si="2"/>
        <v>51028.08</v>
      </c>
      <c r="M12" s="19">
        <f t="shared" si="2"/>
        <v>85000</v>
      </c>
      <c r="N12" s="18">
        <f t="shared" si="0"/>
        <v>16104.66</v>
      </c>
      <c r="O12" s="19">
        <f t="shared" si="0"/>
        <v>75000</v>
      </c>
      <c r="P12" s="19"/>
    </row>
    <row r="13" spans="1:19" x14ac:dyDescent="0.25">
      <c r="A13" s="881"/>
      <c r="B13" s="63"/>
      <c r="C13" s="130"/>
      <c r="D13" s="13"/>
      <c r="E13" s="13"/>
      <c r="F13" s="13"/>
      <c r="G13" s="13"/>
      <c r="H13" s="13"/>
      <c r="I13" s="13"/>
      <c r="J13" s="13"/>
      <c r="K13" s="14"/>
      <c r="L13" s="13"/>
      <c r="M13" s="14"/>
      <c r="N13" s="13"/>
      <c r="O13" s="14"/>
      <c r="P13" s="14"/>
    </row>
    <row r="14" spans="1:19" x14ac:dyDescent="0.25">
      <c r="A14" s="881"/>
      <c r="B14" s="63"/>
      <c r="C14" s="130"/>
      <c r="D14" s="13"/>
      <c r="E14" s="13"/>
      <c r="F14" s="13"/>
      <c r="G14" s="13"/>
      <c r="H14" s="13"/>
      <c r="I14" s="13"/>
      <c r="J14" s="13"/>
      <c r="K14" s="14"/>
      <c r="L14" s="13"/>
      <c r="M14" s="14"/>
      <c r="N14" s="13"/>
      <c r="O14" s="14"/>
      <c r="P14" s="14"/>
    </row>
    <row r="15" spans="1:19" ht="13.8" thickBot="1" x14ac:dyDescent="0.3">
      <c r="A15" s="882"/>
      <c r="B15" s="723" t="s">
        <v>286</v>
      </c>
      <c r="C15" s="714">
        <f t="shared" ref="C15:O15" si="3">+C12</f>
        <v>79291.739999999991</v>
      </c>
      <c r="D15" s="21">
        <f t="shared" si="3"/>
        <v>68222.33</v>
      </c>
      <c r="E15" s="21">
        <f>+E12</f>
        <v>104258.47</v>
      </c>
      <c r="F15" s="21">
        <f>+F12</f>
        <v>74568.58</v>
      </c>
      <c r="G15" s="21">
        <f>+G12</f>
        <v>94990.93</v>
      </c>
      <c r="H15" s="21">
        <f>+H12</f>
        <v>78752.53</v>
      </c>
      <c r="I15" s="21">
        <f t="shared" si="3"/>
        <v>62050.99</v>
      </c>
      <c r="J15" s="21">
        <f t="shared" ref="J15" si="4">+J12</f>
        <v>47390.289999999994</v>
      </c>
      <c r="K15" s="22">
        <f t="shared" ref="K15:M15" si="5">+K12</f>
        <v>80000</v>
      </c>
      <c r="L15" s="21">
        <f t="shared" si="5"/>
        <v>51028.08</v>
      </c>
      <c r="M15" s="22">
        <f t="shared" si="5"/>
        <v>85000</v>
      </c>
      <c r="N15" s="21">
        <f t="shared" si="3"/>
        <v>16104.66</v>
      </c>
      <c r="O15" s="22">
        <f t="shared" si="3"/>
        <v>75000</v>
      </c>
      <c r="P15" s="22">
        <f>+O15</f>
        <v>75000</v>
      </c>
    </row>
    <row r="16" spans="1:19" ht="13.8" thickTop="1" x14ac:dyDescent="0.25">
      <c r="A16" s="876"/>
      <c r="B16" s="724"/>
      <c r="C16" s="23"/>
      <c r="D16" s="23"/>
      <c r="E16" s="23"/>
      <c r="F16" s="23"/>
      <c r="G16" s="23"/>
      <c r="H16" s="23"/>
      <c r="I16" s="23"/>
      <c r="J16" s="23"/>
      <c r="K16" s="23"/>
      <c r="L16" s="23"/>
      <c r="M16" s="23"/>
      <c r="N16" s="27"/>
      <c r="O16" s="23"/>
      <c r="P16" s="23"/>
      <c r="Q16" s="27"/>
      <c r="R16" s="27"/>
      <c r="S16" s="27"/>
    </row>
    <row r="17" spans="1:19" ht="13.8" thickBot="1" x14ac:dyDescent="0.3">
      <c r="A17" s="66">
        <v>44614</v>
      </c>
      <c r="B17" s="724" t="s">
        <v>1896</v>
      </c>
      <c r="C17" s="23"/>
      <c r="D17" s="23"/>
      <c r="E17" s="23"/>
      <c r="F17" s="23"/>
      <c r="G17" s="23"/>
      <c r="H17" s="23"/>
      <c r="I17" s="23"/>
      <c r="J17" s="23"/>
      <c r="K17" s="23"/>
      <c r="L17" s="23"/>
      <c r="M17" s="23"/>
      <c r="N17" s="27"/>
      <c r="O17" s="23"/>
      <c r="P17" s="23"/>
      <c r="Q17" s="27"/>
      <c r="R17" s="27"/>
      <c r="S17" s="27"/>
    </row>
    <row r="18" spans="1:19" ht="13.8" thickTop="1" x14ac:dyDescent="0.25">
      <c r="A18" s="893"/>
      <c r="B18" s="725"/>
      <c r="C18" s="715" t="s">
        <v>127</v>
      </c>
      <c r="D18" s="454" t="s">
        <v>127</v>
      </c>
      <c r="E18" s="454" t="s">
        <v>127</v>
      </c>
      <c r="K18" s="455" t="s">
        <v>547</v>
      </c>
      <c r="L18" s="456" t="s">
        <v>9</v>
      </c>
      <c r="M18" s="457" t="s">
        <v>1073</v>
      </c>
      <c r="N18" s="456" t="s">
        <v>686</v>
      </c>
      <c r="O18" s="458"/>
      <c r="P18" s="457"/>
      <c r="Q18" s="27"/>
      <c r="R18" s="27"/>
      <c r="S18" s="27"/>
    </row>
    <row r="19" spans="1:19" ht="13.8" thickBot="1" x14ac:dyDescent="0.3">
      <c r="A19" s="894" t="s">
        <v>128</v>
      </c>
      <c r="B19" s="459"/>
      <c r="C19" s="460" t="s">
        <v>347</v>
      </c>
      <c r="D19" s="460" t="s">
        <v>722</v>
      </c>
      <c r="E19" s="461" t="s">
        <v>737</v>
      </c>
      <c r="K19" s="462" t="s">
        <v>909</v>
      </c>
      <c r="L19" s="462" t="s">
        <v>910</v>
      </c>
      <c r="M19" s="461" t="s">
        <v>1075</v>
      </c>
      <c r="N19" s="463" t="s">
        <v>1075</v>
      </c>
      <c r="O19" s="464" t="s">
        <v>1074</v>
      </c>
      <c r="P19" s="462"/>
      <c r="Q19" s="27"/>
      <c r="R19" s="27"/>
      <c r="S19" s="27"/>
    </row>
    <row r="20" spans="1:19" ht="13.8" thickTop="1" x14ac:dyDescent="0.25">
      <c r="A20" s="910"/>
      <c r="B20" s="480"/>
      <c r="C20" s="468"/>
      <c r="D20" s="468"/>
      <c r="E20" s="468"/>
      <c r="K20" s="469"/>
      <c r="L20" s="468"/>
      <c r="M20" s="471"/>
      <c r="N20" s="477"/>
      <c r="O20" s="470"/>
      <c r="P20" s="471"/>
      <c r="Q20" s="27"/>
      <c r="R20" s="27"/>
      <c r="S20" s="27"/>
    </row>
    <row r="21" spans="1:19" x14ac:dyDescent="0.25">
      <c r="A21" s="907">
        <v>5301</v>
      </c>
      <c r="B21" s="472" t="s">
        <v>156</v>
      </c>
      <c r="C21" s="476">
        <v>13833</v>
      </c>
      <c r="D21" s="476">
        <v>14157.5</v>
      </c>
      <c r="E21" s="476">
        <v>18901.330000000002</v>
      </c>
      <c r="K21" s="475">
        <f>+M9</f>
        <v>25000</v>
      </c>
      <c r="L21" s="497">
        <f>+O9</f>
        <v>20000</v>
      </c>
      <c r="M21" s="471">
        <f>+L21-K21</f>
        <v>-5000</v>
      </c>
      <c r="N21" s="477">
        <f>IF(K21+L21&lt;&gt;0,IF(K21&lt;&gt;0,IF(M21&lt;&gt;0,ROUND((+M21/K21),4),""),1),"")</f>
        <v>-0.2</v>
      </c>
      <c r="O21" s="470"/>
      <c r="P21" s="471"/>
      <c r="Q21" s="27"/>
      <c r="R21" s="27"/>
      <c r="S21" s="27"/>
    </row>
    <row r="22" spans="1:19" x14ac:dyDescent="0.25">
      <c r="A22" s="907">
        <v>5302</v>
      </c>
      <c r="B22" s="472" t="s">
        <v>151</v>
      </c>
      <c r="C22" s="476">
        <v>65458.74</v>
      </c>
      <c r="D22" s="476">
        <v>54064.83</v>
      </c>
      <c r="E22" s="476">
        <v>85357.14</v>
      </c>
      <c r="K22" s="475">
        <f>+M10</f>
        <v>60000</v>
      </c>
      <c r="L22" s="497">
        <f>+O10</f>
        <v>55000</v>
      </c>
      <c r="M22" s="471">
        <f>+L22-K22</f>
        <v>-5000</v>
      </c>
      <c r="N22" s="477">
        <f>IF(K22+L22&lt;&gt;0,IF(K22&lt;&gt;0,IF(M22&lt;&gt;0,ROUND((+M22/K22),4),""),1),"")</f>
        <v>-8.3299999999999999E-2</v>
      </c>
      <c r="O22" s="470"/>
      <c r="P22" s="471"/>
      <c r="Q22" s="27"/>
      <c r="R22" s="27"/>
      <c r="S22" s="27"/>
    </row>
    <row r="23" spans="1:19" x14ac:dyDescent="0.25">
      <c r="A23" s="876"/>
      <c r="B23" s="4"/>
      <c r="C23" s="23"/>
      <c r="D23" s="23"/>
      <c r="E23" s="23"/>
      <c r="F23" s="23"/>
      <c r="G23" s="23"/>
      <c r="K23" s="23"/>
      <c r="L23" s="23"/>
      <c r="M23" s="23"/>
      <c r="N23" s="27"/>
      <c r="O23" s="23"/>
      <c r="P23" s="23"/>
      <c r="Q23" s="27"/>
      <c r="R23" s="27"/>
      <c r="S23" s="27"/>
    </row>
    <row r="24" spans="1:19" x14ac:dyDescent="0.25">
      <c r="A24" s="876"/>
      <c r="B24" s="4" t="s">
        <v>1363</v>
      </c>
      <c r="C24" s="23"/>
      <c r="D24" s="23"/>
      <c r="E24" s="23"/>
      <c r="F24" s="23"/>
      <c r="G24" s="23"/>
      <c r="K24" s="742">
        <f>SUM(K21:K23)</f>
        <v>85000</v>
      </c>
      <c r="L24" s="742">
        <f>SUM(L21:L23)</f>
        <v>75000</v>
      </c>
      <c r="M24" s="202">
        <f>+L24-K24</f>
        <v>-10000</v>
      </c>
      <c r="N24" s="743">
        <f>IF(K24+L24&lt;&gt;0,IF(K24&lt;&gt;0,IF(M24&lt;&gt;0,ROUND((+M24/K24),4),""),1),"")</f>
        <v>-0.1176</v>
      </c>
      <c r="O24" s="23"/>
      <c r="P24" s="23"/>
      <c r="Q24" s="27"/>
      <c r="R24" s="27"/>
      <c r="S24" s="27"/>
    </row>
    <row r="25" spans="1:19" x14ac:dyDescent="0.25">
      <c r="A25" s="876"/>
      <c r="B25" s="4"/>
      <c r="C25" s="23"/>
      <c r="D25" s="23"/>
      <c r="E25" s="23"/>
      <c r="F25" s="23"/>
      <c r="G25" s="23"/>
      <c r="H25" s="23"/>
      <c r="I25" s="23"/>
      <c r="J25" s="23"/>
      <c r="K25" s="23"/>
      <c r="L25" s="23"/>
      <c r="M25" s="23"/>
      <c r="N25" s="27"/>
      <c r="O25" s="23"/>
      <c r="P25" s="23"/>
      <c r="Q25" s="27"/>
      <c r="R25" s="27"/>
      <c r="S25" s="27"/>
    </row>
    <row r="26" spans="1:19" x14ac:dyDescent="0.25">
      <c r="A26" s="876"/>
      <c r="B26" s="4"/>
      <c r="C26" s="23"/>
      <c r="D26" s="23"/>
      <c r="E26" s="23"/>
      <c r="F26" s="23"/>
      <c r="G26" s="23"/>
      <c r="H26" s="23"/>
      <c r="I26" s="23"/>
      <c r="J26" s="23"/>
      <c r="K26" s="23"/>
      <c r="L26" s="23"/>
      <c r="M26" s="23"/>
      <c r="N26" s="27"/>
      <c r="O26" s="23"/>
      <c r="P26" s="23"/>
      <c r="Q26" s="27"/>
      <c r="R26" s="27"/>
      <c r="S26" s="27"/>
    </row>
    <row r="27" spans="1:19" x14ac:dyDescent="0.25">
      <c r="A27" s="876"/>
      <c r="B27" s="4"/>
      <c r="C27" s="23"/>
      <c r="D27" s="23"/>
      <c r="E27" s="23"/>
      <c r="F27" s="23"/>
      <c r="G27" s="23"/>
      <c r="H27" s="23"/>
      <c r="I27" s="23"/>
      <c r="J27" s="23"/>
      <c r="K27" s="23"/>
      <c r="L27" s="23"/>
      <c r="M27" s="23"/>
      <c r="N27" s="27"/>
      <c r="O27" s="23"/>
      <c r="P27" s="23"/>
      <c r="Q27" s="27"/>
      <c r="R27" s="27"/>
      <c r="S27" s="27"/>
    </row>
    <row r="28" spans="1:19" x14ac:dyDescent="0.25">
      <c r="A28" s="876"/>
      <c r="B28" s="4"/>
      <c r="C28" s="23"/>
      <c r="D28" s="23"/>
      <c r="E28" s="23"/>
      <c r="F28" s="23"/>
      <c r="G28" s="23"/>
      <c r="H28" s="23"/>
      <c r="I28" s="23"/>
      <c r="J28" s="23"/>
      <c r="K28" s="23"/>
      <c r="L28" s="23"/>
      <c r="M28" s="23"/>
      <c r="N28" s="27"/>
      <c r="O28" s="23"/>
      <c r="P28" s="23"/>
      <c r="Q28" s="27"/>
      <c r="R28" s="27"/>
      <c r="S28" s="27"/>
    </row>
    <row r="29" spans="1:19" x14ac:dyDescent="0.25">
      <c r="A29" s="876"/>
      <c r="B29" s="4"/>
      <c r="C29" s="23"/>
      <c r="D29" s="23"/>
      <c r="E29" s="23"/>
      <c r="F29" s="23"/>
      <c r="G29" s="23"/>
      <c r="H29" s="23"/>
      <c r="I29" s="23"/>
      <c r="J29" s="23"/>
      <c r="K29" s="23"/>
      <c r="L29" s="23"/>
      <c r="M29" s="23"/>
      <c r="N29" s="27"/>
      <c r="O29" s="23"/>
      <c r="P29" s="23"/>
      <c r="Q29" s="27"/>
      <c r="R29" s="27"/>
      <c r="S29" s="27"/>
    </row>
    <row r="30" spans="1:19" x14ac:dyDescent="0.25">
      <c r="A30" s="876"/>
      <c r="B30" s="4"/>
      <c r="C30" s="23"/>
      <c r="D30" s="23"/>
      <c r="E30" s="23"/>
      <c r="F30" s="23"/>
      <c r="G30" s="23"/>
      <c r="H30" s="23"/>
      <c r="I30" s="23"/>
      <c r="J30" s="23"/>
      <c r="K30" s="23"/>
      <c r="L30" s="23"/>
      <c r="M30" s="23"/>
      <c r="N30" s="27"/>
      <c r="O30" s="23"/>
      <c r="P30" s="23"/>
      <c r="Q30" s="27"/>
      <c r="R30" s="27"/>
      <c r="S30" s="27"/>
    </row>
    <row r="31" spans="1:19" x14ac:dyDescent="0.25">
      <c r="A31" s="876"/>
      <c r="B31" s="4"/>
      <c r="C31" s="23"/>
      <c r="D31" s="23"/>
      <c r="E31" s="23"/>
      <c r="F31" s="23"/>
      <c r="G31" s="23"/>
      <c r="H31" s="23"/>
      <c r="I31" s="23"/>
      <c r="J31" s="23"/>
      <c r="K31" s="23"/>
      <c r="L31" s="23"/>
      <c r="M31" s="23"/>
      <c r="N31" s="27"/>
      <c r="O31" s="23"/>
      <c r="P31" s="23"/>
      <c r="Q31" s="27"/>
      <c r="R31" s="27"/>
      <c r="S31" s="27"/>
    </row>
    <row r="32" spans="1:19" x14ac:dyDescent="0.25">
      <c r="A32" s="876"/>
      <c r="B32" s="4"/>
      <c r="C32" s="23"/>
      <c r="D32" s="23"/>
      <c r="E32" s="23"/>
      <c r="F32" s="23"/>
      <c r="G32" s="23"/>
      <c r="H32" s="23"/>
      <c r="I32" s="23"/>
      <c r="J32" s="23"/>
      <c r="K32" s="23"/>
      <c r="L32" s="23"/>
      <c r="M32" s="23"/>
      <c r="N32" s="27"/>
      <c r="O32" s="23"/>
      <c r="P32" s="23"/>
      <c r="Q32" s="27"/>
      <c r="R32" s="27"/>
      <c r="S32" s="27"/>
    </row>
    <row r="33" spans="1:19" x14ac:dyDescent="0.25">
      <c r="A33" s="876"/>
      <c r="B33" s="4"/>
      <c r="C33" s="23"/>
      <c r="D33" s="23"/>
      <c r="E33" s="23"/>
      <c r="F33" s="23"/>
      <c r="G33" s="23"/>
      <c r="H33" s="23"/>
      <c r="I33" s="23"/>
      <c r="J33" s="23"/>
      <c r="K33" s="23"/>
      <c r="L33" s="23"/>
      <c r="M33" s="23"/>
      <c r="N33" s="27"/>
      <c r="O33" s="23"/>
      <c r="P33" s="23"/>
      <c r="Q33" s="27"/>
      <c r="R33" s="27"/>
      <c r="S33" s="27"/>
    </row>
    <row r="34" spans="1:19" x14ac:dyDescent="0.25">
      <c r="A34" s="876"/>
      <c r="B34" s="4"/>
      <c r="C34" s="23"/>
      <c r="D34" s="23"/>
      <c r="E34" s="23"/>
      <c r="F34" s="23"/>
      <c r="G34" s="23"/>
      <c r="H34" s="23"/>
      <c r="I34" s="23"/>
      <c r="J34" s="23"/>
      <c r="K34" s="23"/>
      <c r="L34" s="23"/>
      <c r="M34" s="23"/>
      <c r="N34" s="27"/>
      <c r="O34" s="23"/>
      <c r="P34" s="23"/>
      <c r="Q34" s="27"/>
      <c r="R34" s="27"/>
      <c r="S34" s="27"/>
    </row>
    <row r="35" spans="1:19" x14ac:dyDescent="0.25">
      <c r="A35" s="876"/>
      <c r="B35" s="4"/>
      <c r="C35" s="23"/>
      <c r="D35" s="23"/>
      <c r="E35" s="23"/>
      <c r="F35" s="23"/>
      <c r="G35" s="23"/>
      <c r="H35" s="23"/>
      <c r="I35" s="23"/>
      <c r="J35" s="23"/>
      <c r="K35" s="23"/>
      <c r="L35" s="23"/>
      <c r="M35" s="23"/>
      <c r="N35" s="27"/>
      <c r="O35" s="23"/>
      <c r="P35" s="23"/>
      <c r="Q35" s="27"/>
      <c r="R35" s="27"/>
      <c r="S35" s="27"/>
    </row>
    <row r="36" spans="1:19" x14ac:dyDescent="0.25">
      <c r="A36" s="876"/>
      <c r="B36" s="4"/>
      <c r="C36" s="23"/>
      <c r="D36" s="23"/>
      <c r="E36" s="23"/>
      <c r="F36" s="23"/>
      <c r="G36" s="23"/>
      <c r="H36" s="23"/>
      <c r="I36" s="23"/>
      <c r="J36" s="23"/>
      <c r="K36" s="23"/>
      <c r="L36" s="23"/>
      <c r="M36" s="23"/>
      <c r="N36" s="27"/>
      <c r="O36" s="23"/>
      <c r="P36" s="23"/>
      <c r="Q36" s="27"/>
      <c r="R36" s="27"/>
      <c r="S36" s="27"/>
    </row>
    <row r="37" spans="1:19" x14ac:dyDescent="0.25">
      <c r="A37" s="876"/>
      <c r="B37" s="4"/>
      <c r="C37" s="23"/>
      <c r="D37" s="23"/>
      <c r="E37" s="23"/>
      <c r="F37" s="23"/>
      <c r="G37" s="23"/>
      <c r="H37" s="23"/>
      <c r="I37" s="23"/>
      <c r="J37" s="23"/>
      <c r="K37" s="23"/>
      <c r="L37" s="23"/>
      <c r="M37" s="23"/>
      <c r="N37" s="27"/>
      <c r="O37" s="23"/>
      <c r="P37" s="23"/>
      <c r="Q37" s="27"/>
      <c r="R37" s="27"/>
      <c r="S37" s="27"/>
    </row>
    <row r="38" spans="1:19" x14ac:dyDescent="0.25">
      <c r="A38" s="876"/>
      <c r="B38" s="4"/>
      <c r="C38" s="23"/>
      <c r="D38" s="23"/>
      <c r="E38" s="23"/>
      <c r="F38" s="23"/>
      <c r="G38" s="23"/>
      <c r="H38" s="23"/>
      <c r="I38" s="23"/>
      <c r="J38" s="23"/>
      <c r="K38" s="23"/>
      <c r="L38" s="23"/>
      <c r="M38" s="23"/>
      <c r="N38" s="27"/>
      <c r="O38" s="23"/>
      <c r="P38" s="23"/>
      <c r="Q38" s="27"/>
      <c r="R38" s="27"/>
      <c r="S38" s="27"/>
    </row>
    <row r="39" spans="1:19" x14ac:dyDescent="0.25">
      <c r="A39" s="876"/>
      <c r="B39" s="4"/>
      <c r="C39" s="23"/>
      <c r="D39" s="23"/>
      <c r="E39" s="23"/>
      <c r="F39" s="23"/>
      <c r="G39" s="23"/>
      <c r="H39" s="23"/>
      <c r="I39" s="23"/>
      <c r="J39" s="23"/>
      <c r="K39" s="23"/>
      <c r="L39" s="23"/>
      <c r="M39" s="23"/>
      <c r="N39" s="27"/>
      <c r="O39" s="23"/>
      <c r="P39" s="23"/>
      <c r="Q39" s="27"/>
      <c r="R39" s="27"/>
      <c r="S39" s="27"/>
    </row>
    <row r="40" spans="1:19" x14ac:dyDescent="0.25">
      <c r="A40" s="876"/>
      <c r="B40" s="4"/>
      <c r="C40" s="23"/>
      <c r="D40" s="23"/>
      <c r="E40" s="23"/>
      <c r="F40" s="23"/>
      <c r="G40" s="23"/>
      <c r="H40" s="23"/>
      <c r="I40" s="23"/>
      <c r="J40" s="23"/>
      <c r="K40" s="23"/>
      <c r="L40" s="23"/>
      <c r="M40" s="23"/>
      <c r="N40" s="27"/>
      <c r="O40" s="23"/>
      <c r="P40" s="23"/>
      <c r="Q40" s="27"/>
      <c r="R40" s="27"/>
      <c r="S40" s="27"/>
    </row>
    <row r="41" spans="1:19" x14ac:dyDescent="0.25">
      <c r="A41" s="876"/>
      <c r="B41" s="4"/>
      <c r="C41" s="23"/>
      <c r="D41" s="23"/>
      <c r="E41" s="23"/>
      <c r="F41" s="23"/>
      <c r="G41" s="23"/>
      <c r="H41" s="23"/>
      <c r="I41" s="23"/>
      <c r="J41" s="23"/>
      <c r="K41" s="23"/>
      <c r="L41" s="23"/>
      <c r="M41" s="23"/>
      <c r="N41" s="27"/>
      <c r="O41" s="23"/>
      <c r="P41" s="23"/>
      <c r="Q41" s="27"/>
      <c r="R41" s="27"/>
      <c r="S41" s="27"/>
    </row>
    <row r="42" spans="1:19" x14ac:dyDescent="0.25">
      <c r="A42" s="876"/>
      <c r="B42" s="4"/>
      <c r="C42" s="23"/>
      <c r="D42" s="23"/>
      <c r="E42" s="23"/>
      <c r="F42" s="23"/>
      <c r="G42" s="23"/>
      <c r="H42" s="23"/>
      <c r="I42" s="23"/>
      <c r="J42" s="23"/>
      <c r="K42" s="23"/>
      <c r="L42" s="23"/>
      <c r="M42" s="23"/>
      <c r="N42" s="27"/>
      <c r="O42" s="23"/>
      <c r="P42" s="23"/>
      <c r="Q42" s="27"/>
      <c r="R42" s="27"/>
      <c r="S42" s="27"/>
    </row>
    <row r="43" spans="1:19" x14ac:dyDescent="0.25">
      <c r="A43" s="876"/>
      <c r="B43" s="4"/>
      <c r="C43" s="23"/>
      <c r="D43" s="23"/>
      <c r="E43" s="23"/>
      <c r="F43" s="23"/>
      <c r="G43" s="23"/>
      <c r="H43" s="23"/>
      <c r="I43" s="23"/>
      <c r="J43" s="23"/>
      <c r="K43" s="23"/>
      <c r="L43" s="23"/>
      <c r="M43" s="23"/>
      <c r="N43" s="27"/>
      <c r="O43" s="23"/>
      <c r="P43" s="23"/>
      <c r="Q43" s="27"/>
      <c r="R43" s="27"/>
      <c r="S43" s="27"/>
    </row>
    <row r="44" spans="1:19" x14ac:dyDescent="0.25">
      <c r="A44" s="876"/>
      <c r="B44" s="4"/>
      <c r="C44" s="23"/>
      <c r="D44" s="23"/>
      <c r="E44" s="23"/>
      <c r="F44" s="23"/>
      <c r="G44" s="23"/>
      <c r="H44" s="23"/>
      <c r="I44" s="23"/>
      <c r="J44" s="23"/>
      <c r="K44" s="23"/>
      <c r="L44" s="23"/>
      <c r="M44" s="23"/>
      <c r="N44" s="27"/>
      <c r="O44" s="23"/>
      <c r="P44" s="23"/>
      <c r="Q44" s="27"/>
      <c r="R44" s="27"/>
      <c r="S44" s="27"/>
    </row>
    <row r="45" spans="1:19" x14ac:dyDescent="0.25">
      <c r="A45" s="876"/>
      <c r="B45" s="4"/>
      <c r="C45" s="23"/>
      <c r="D45" s="23"/>
      <c r="E45" s="23"/>
      <c r="F45" s="23"/>
      <c r="G45" s="23"/>
      <c r="H45" s="23"/>
      <c r="I45" s="23"/>
      <c r="J45" s="23"/>
      <c r="K45" s="23"/>
      <c r="L45" s="23"/>
      <c r="M45" s="23"/>
      <c r="N45" s="27"/>
      <c r="O45" s="23"/>
      <c r="P45" s="23"/>
      <c r="Q45" s="27"/>
      <c r="R45" s="27"/>
      <c r="S45" s="27"/>
    </row>
    <row r="46" spans="1:19" x14ac:dyDescent="0.25">
      <c r="A46" s="876"/>
      <c r="B46" s="4"/>
      <c r="C46" s="23"/>
      <c r="D46" s="23"/>
      <c r="E46" s="23"/>
      <c r="F46" s="23"/>
      <c r="G46" s="23"/>
      <c r="H46" s="23"/>
      <c r="I46" s="23"/>
      <c r="J46" s="23"/>
      <c r="K46" s="23"/>
      <c r="L46" s="23"/>
      <c r="M46" s="23"/>
      <c r="N46" s="27"/>
      <c r="O46" s="23"/>
      <c r="P46" s="23"/>
      <c r="Q46" s="27"/>
      <c r="R46" s="27"/>
      <c r="S46" s="27"/>
    </row>
    <row r="47" spans="1:19" x14ac:dyDescent="0.25">
      <c r="A47" s="876"/>
      <c r="B47" s="4"/>
      <c r="C47" s="23"/>
      <c r="D47" s="23"/>
      <c r="E47" s="23"/>
      <c r="F47" s="23"/>
      <c r="G47" s="23"/>
      <c r="H47" s="23"/>
      <c r="I47" s="23"/>
      <c r="J47" s="23"/>
      <c r="K47" s="23"/>
      <c r="L47" s="23"/>
      <c r="M47" s="23"/>
      <c r="N47" s="27"/>
      <c r="O47" s="23"/>
      <c r="P47" s="23"/>
      <c r="Q47" s="27"/>
      <c r="R47" s="27"/>
      <c r="S47" s="27"/>
    </row>
    <row r="48" spans="1:19" x14ac:dyDescent="0.25">
      <c r="A48" s="876"/>
      <c r="B48" s="4"/>
      <c r="C48" s="23"/>
      <c r="D48" s="23"/>
      <c r="E48" s="23"/>
      <c r="F48" s="23"/>
      <c r="G48" s="23"/>
      <c r="H48" s="23"/>
      <c r="I48" s="23"/>
      <c r="J48" s="23"/>
      <c r="K48" s="23"/>
      <c r="L48" s="23"/>
      <c r="M48" s="23"/>
      <c r="N48" s="27"/>
      <c r="O48" s="23"/>
      <c r="P48" s="23"/>
      <c r="Q48" s="27"/>
      <c r="R48" s="27"/>
      <c r="S48" s="27"/>
    </row>
    <row r="49" spans="1:19" x14ac:dyDescent="0.25">
      <c r="A49" s="876"/>
      <c r="B49" s="4"/>
      <c r="C49" s="23"/>
      <c r="D49" s="23"/>
      <c r="E49" s="23"/>
      <c r="F49" s="23"/>
      <c r="G49" s="23"/>
      <c r="H49" s="23"/>
      <c r="I49" s="23"/>
      <c r="J49" s="23"/>
      <c r="K49" s="23"/>
      <c r="L49" s="23"/>
      <c r="M49" s="23"/>
      <c r="N49" s="27"/>
      <c r="O49" s="23"/>
      <c r="P49" s="23"/>
      <c r="Q49" s="27"/>
      <c r="R49" s="27"/>
      <c r="S49" s="27"/>
    </row>
    <row r="50" spans="1:19" x14ac:dyDescent="0.25">
      <c r="A50" s="876"/>
      <c r="B50" s="4"/>
      <c r="C50" s="23"/>
      <c r="D50" s="23"/>
      <c r="E50" s="23"/>
      <c r="F50" s="23"/>
      <c r="G50" s="23"/>
      <c r="H50" s="23"/>
      <c r="I50" s="23"/>
      <c r="J50" s="23"/>
      <c r="K50" s="23"/>
      <c r="L50" s="23"/>
      <c r="M50" s="23"/>
      <c r="N50" s="4"/>
      <c r="O50" s="23"/>
      <c r="P50" s="23"/>
      <c r="Q50" s="4"/>
      <c r="R50" s="4"/>
      <c r="S50" s="4"/>
    </row>
    <row r="51" spans="1:19" x14ac:dyDescent="0.25">
      <c r="A51" s="876"/>
      <c r="B51" s="4"/>
      <c r="C51" s="23"/>
      <c r="D51" s="23"/>
      <c r="E51" s="23"/>
      <c r="F51" s="23"/>
      <c r="G51" s="23"/>
      <c r="H51" s="23"/>
      <c r="I51" s="23"/>
      <c r="J51" s="23"/>
      <c r="K51" s="23"/>
      <c r="L51" s="23"/>
      <c r="M51" s="23"/>
      <c r="N51" s="4"/>
      <c r="O51" s="23"/>
      <c r="P51" s="23"/>
      <c r="Q51" s="4"/>
      <c r="R51" s="4"/>
      <c r="S51" s="4"/>
    </row>
    <row r="52" spans="1:19" x14ac:dyDescent="0.25">
      <c r="A52" s="876"/>
      <c r="B52" s="4"/>
      <c r="C52" s="23"/>
      <c r="D52" s="23"/>
      <c r="E52" s="23"/>
      <c r="F52" s="23"/>
      <c r="G52" s="23"/>
      <c r="H52" s="23"/>
      <c r="I52" s="23"/>
      <c r="J52" s="23"/>
      <c r="K52" s="23"/>
      <c r="L52" s="23"/>
      <c r="M52" s="23"/>
      <c r="N52" s="4"/>
      <c r="O52" s="23"/>
      <c r="P52" s="23"/>
      <c r="Q52" s="4"/>
      <c r="R52" s="4"/>
      <c r="S52" s="4"/>
    </row>
    <row r="53" spans="1:19" x14ac:dyDescent="0.25">
      <c r="A53" s="876"/>
      <c r="B53" s="4"/>
      <c r="C53" s="23"/>
      <c r="D53" s="23"/>
      <c r="E53" s="23"/>
      <c r="F53" s="23"/>
      <c r="G53" s="23"/>
      <c r="H53" s="23"/>
      <c r="I53" s="23"/>
      <c r="J53" s="23"/>
      <c r="K53" s="23"/>
      <c r="L53" s="23"/>
      <c r="M53" s="23"/>
      <c r="N53" s="4"/>
      <c r="O53" s="23"/>
      <c r="P53" s="23"/>
      <c r="Q53" s="4"/>
      <c r="R53" s="4"/>
      <c r="S53" s="4"/>
    </row>
    <row r="54" spans="1:19" x14ac:dyDescent="0.25">
      <c r="A54" s="876"/>
      <c r="B54" s="4"/>
      <c r="C54" s="23"/>
      <c r="D54" s="23"/>
      <c r="E54" s="23"/>
      <c r="F54" s="23"/>
      <c r="G54" s="23"/>
      <c r="H54" s="23"/>
      <c r="I54" s="23"/>
      <c r="J54" s="23"/>
      <c r="K54" s="23"/>
      <c r="L54" s="23"/>
      <c r="M54" s="23"/>
      <c r="N54" s="4"/>
      <c r="O54" s="23"/>
      <c r="P54" s="23"/>
      <c r="Q54" s="4"/>
      <c r="R54" s="4"/>
      <c r="S54" s="4"/>
    </row>
    <row r="55" spans="1:19" x14ac:dyDescent="0.25">
      <c r="A55" s="876"/>
      <c r="B55" s="4"/>
      <c r="C55" s="23"/>
      <c r="D55" s="23"/>
      <c r="E55" s="23"/>
      <c r="F55" s="23"/>
      <c r="G55" s="23"/>
      <c r="H55" s="23"/>
      <c r="I55" s="23"/>
      <c r="J55" s="23"/>
      <c r="K55" s="23"/>
      <c r="L55" s="23"/>
      <c r="M55" s="23"/>
      <c r="N55" s="4"/>
      <c r="O55" s="23"/>
      <c r="P55" s="23"/>
      <c r="Q55" s="4"/>
      <c r="R55" s="4"/>
      <c r="S55" s="4"/>
    </row>
    <row r="56" spans="1:19" x14ac:dyDescent="0.25">
      <c r="A56" s="876"/>
      <c r="B56" s="4"/>
      <c r="C56" s="23"/>
      <c r="D56" s="23"/>
      <c r="E56" s="23"/>
      <c r="F56" s="23"/>
      <c r="G56" s="23"/>
      <c r="H56" s="23"/>
      <c r="I56" s="23"/>
      <c r="J56" s="23"/>
      <c r="K56" s="23"/>
      <c r="L56" s="23"/>
      <c r="M56" s="23"/>
      <c r="N56" s="4"/>
      <c r="O56" s="23"/>
      <c r="P56" s="23"/>
      <c r="Q56" s="4"/>
      <c r="R56" s="4"/>
      <c r="S56" s="4"/>
    </row>
    <row r="57" spans="1:19" x14ac:dyDescent="0.25">
      <c r="A57" s="876"/>
      <c r="B57" s="4"/>
      <c r="C57" s="23"/>
      <c r="D57" s="23"/>
      <c r="E57" s="23"/>
      <c r="F57" s="23"/>
      <c r="G57" s="23"/>
      <c r="H57" s="23"/>
      <c r="I57" s="23"/>
      <c r="J57" s="23"/>
      <c r="K57" s="23"/>
      <c r="L57" s="23"/>
      <c r="M57" s="23"/>
      <c r="N57" s="4"/>
      <c r="O57" s="23"/>
      <c r="P57" s="23"/>
      <c r="Q57" s="4"/>
      <c r="R57" s="4"/>
      <c r="S57" s="4"/>
    </row>
    <row r="58" spans="1:19" x14ac:dyDescent="0.25">
      <c r="A58" s="876"/>
      <c r="B58" s="4"/>
      <c r="C58" s="23"/>
      <c r="D58" s="23"/>
      <c r="E58" s="23"/>
      <c r="F58" s="23"/>
      <c r="G58" s="23"/>
      <c r="H58" s="23"/>
      <c r="I58" s="23"/>
      <c r="J58" s="23"/>
      <c r="K58" s="23"/>
      <c r="L58" s="23"/>
      <c r="M58" s="23"/>
      <c r="N58" s="4"/>
      <c r="O58" s="23"/>
      <c r="P58" s="23"/>
      <c r="Q58" s="4"/>
      <c r="R58" s="4"/>
      <c r="S58" s="4"/>
    </row>
    <row r="59" spans="1:19" x14ac:dyDescent="0.25">
      <c r="A59" s="876"/>
      <c r="B59" s="4"/>
      <c r="C59" s="23"/>
      <c r="D59" s="23"/>
      <c r="E59" s="23"/>
      <c r="F59" s="23"/>
      <c r="G59" s="23"/>
      <c r="H59" s="23"/>
      <c r="I59" s="23"/>
      <c r="J59" s="23"/>
      <c r="K59" s="23"/>
      <c r="L59" s="23"/>
      <c r="M59" s="23"/>
      <c r="N59" s="4"/>
      <c r="O59" s="23"/>
      <c r="P59" s="23"/>
      <c r="Q59" s="4"/>
      <c r="R59" s="4"/>
      <c r="S59" s="4"/>
    </row>
    <row r="60" spans="1:19" x14ac:dyDescent="0.25">
      <c r="A60" s="876"/>
      <c r="B60" s="4"/>
      <c r="C60" s="23"/>
      <c r="D60" s="23"/>
      <c r="E60" s="23"/>
      <c r="F60" s="23"/>
      <c r="G60" s="23"/>
      <c r="H60" s="23"/>
      <c r="I60" s="23"/>
      <c r="J60" s="23"/>
      <c r="K60" s="23"/>
      <c r="L60" s="23"/>
      <c r="M60" s="23"/>
      <c r="N60" s="4"/>
      <c r="O60" s="23"/>
      <c r="P60" s="23"/>
      <c r="Q60" s="4"/>
      <c r="R60" s="4"/>
      <c r="S60" s="4"/>
    </row>
    <row r="61" spans="1:19" x14ac:dyDescent="0.25">
      <c r="A61" s="876"/>
      <c r="B61" s="4"/>
      <c r="C61" s="23"/>
      <c r="D61" s="23"/>
      <c r="E61" s="23"/>
      <c r="F61" s="23"/>
      <c r="G61" s="23"/>
      <c r="H61" s="23"/>
      <c r="I61" s="23"/>
      <c r="J61" s="23"/>
      <c r="K61" s="23"/>
      <c r="L61" s="23"/>
      <c r="M61" s="23"/>
      <c r="N61" s="4"/>
      <c r="O61" s="23"/>
      <c r="P61" s="23"/>
      <c r="Q61" s="4"/>
      <c r="R61" s="4"/>
      <c r="S61" s="4"/>
    </row>
    <row r="62" spans="1:19" x14ac:dyDescent="0.25">
      <c r="A62" s="876"/>
      <c r="B62" s="4"/>
      <c r="C62" s="23"/>
      <c r="D62" s="23"/>
      <c r="E62" s="23"/>
      <c r="F62" s="23"/>
      <c r="G62" s="23"/>
      <c r="H62" s="23"/>
      <c r="I62" s="23"/>
      <c r="J62" s="23"/>
      <c r="K62" s="23"/>
      <c r="L62" s="23"/>
      <c r="M62" s="23"/>
      <c r="N62" s="4"/>
      <c r="O62" s="23"/>
      <c r="P62" s="23"/>
      <c r="Q62" s="4"/>
      <c r="R62" s="4"/>
      <c r="S62" s="4"/>
    </row>
    <row r="63" spans="1:19" x14ac:dyDescent="0.25">
      <c r="A63" s="876"/>
      <c r="B63" s="4"/>
      <c r="C63" s="23"/>
      <c r="D63" s="23"/>
      <c r="E63" s="23"/>
      <c r="F63" s="23"/>
      <c r="G63" s="23"/>
      <c r="H63" s="23"/>
      <c r="I63" s="23"/>
      <c r="J63" s="23"/>
      <c r="K63" s="23"/>
      <c r="L63" s="23"/>
      <c r="M63" s="23"/>
      <c r="N63" s="4"/>
      <c r="O63" s="23"/>
      <c r="P63" s="23"/>
      <c r="Q63" s="4"/>
      <c r="R63" s="4"/>
      <c r="S63" s="4"/>
    </row>
    <row r="64" spans="1:19" x14ac:dyDescent="0.25">
      <c r="A64" s="876"/>
      <c r="B64" s="4"/>
      <c r="C64" s="23"/>
      <c r="D64" s="23"/>
      <c r="E64" s="23"/>
      <c r="F64" s="23"/>
      <c r="G64" s="23"/>
      <c r="H64" s="23"/>
      <c r="I64" s="23"/>
      <c r="J64" s="23"/>
      <c r="K64" s="23"/>
      <c r="L64" s="23"/>
      <c r="M64" s="23"/>
      <c r="N64" s="4"/>
      <c r="O64" s="23"/>
      <c r="P64" s="23"/>
      <c r="Q64" s="4"/>
      <c r="R64" s="4"/>
      <c r="S64" s="4"/>
    </row>
    <row r="65" spans="1:19" x14ac:dyDescent="0.25">
      <c r="A65" s="876"/>
      <c r="B65" s="4"/>
      <c r="C65" s="23"/>
      <c r="D65" s="23"/>
      <c r="E65" s="23"/>
      <c r="F65" s="23"/>
      <c r="G65" s="23"/>
      <c r="H65" s="23"/>
      <c r="I65" s="23"/>
      <c r="J65" s="23"/>
      <c r="K65" s="23"/>
      <c r="L65" s="23"/>
      <c r="M65" s="23"/>
      <c r="N65" s="4"/>
      <c r="O65" s="23"/>
      <c r="P65" s="23"/>
      <c r="Q65" s="4"/>
      <c r="R65" s="4"/>
      <c r="S65" s="4"/>
    </row>
    <row r="66" spans="1:19" x14ac:dyDescent="0.25">
      <c r="A66" s="876"/>
      <c r="B66" s="4"/>
      <c r="C66" s="23"/>
      <c r="D66" s="23"/>
      <c r="E66" s="23"/>
      <c r="F66" s="23"/>
      <c r="G66" s="23"/>
      <c r="H66" s="23"/>
      <c r="I66" s="23"/>
      <c r="J66" s="23"/>
      <c r="K66" s="23"/>
      <c r="L66" s="23"/>
      <c r="M66" s="23"/>
      <c r="N66" s="4"/>
      <c r="O66" s="23"/>
      <c r="P66" s="23"/>
      <c r="Q66" s="4"/>
      <c r="R66" s="4"/>
      <c r="S66" s="4"/>
    </row>
    <row r="67" spans="1:19" x14ac:dyDescent="0.25">
      <c r="A67" s="876"/>
      <c r="B67" s="4"/>
      <c r="C67" s="23"/>
      <c r="D67" s="23"/>
      <c r="E67" s="23"/>
      <c r="F67" s="23"/>
      <c r="G67" s="23"/>
      <c r="H67" s="23"/>
      <c r="I67" s="23"/>
      <c r="J67" s="23"/>
      <c r="K67" s="23"/>
      <c r="L67" s="23"/>
      <c r="M67" s="23"/>
      <c r="N67" s="4"/>
      <c r="O67" s="23"/>
      <c r="P67" s="23"/>
      <c r="Q67" s="4"/>
      <c r="R67" s="4"/>
      <c r="S67" s="4"/>
    </row>
    <row r="68" spans="1:19" x14ac:dyDescent="0.25">
      <c r="A68" s="876"/>
      <c r="B68" s="4"/>
      <c r="C68" s="23"/>
      <c r="D68" s="23"/>
      <c r="E68" s="23"/>
      <c r="F68" s="23"/>
      <c r="G68" s="23"/>
      <c r="H68" s="23"/>
      <c r="I68" s="23"/>
      <c r="J68" s="23"/>
      <c r="K68" s="23"/>
      <c r="L68" s="23"/>
      <c r="M68" s="23"/>
      <c r="N68" s="4"/>
      <c r="O68" s="23"/>
      <c r="P68" s="23"/>
      <c r="Q68" s="4"/>
      <c r="R68" s="4"/>
      <c r="S68" s="4"/>
    </row>
    <row r="69" spans="1:19" x14ac:dyDescent="0.25">
      <c r="A69" s="876"/>
      <c r="B69" s="4"/>
      <c r="C69" s="23"/>
      <c r="D69" s="23"/>
      <c r="E69" s="23"/>
      <c r="F69" s="23"/>
      <c r="G69" s="23"/>
      <c r="H69" s="23"/>
      <c r="I69" s="23"/>
      <c r="J69" s="23"/>
      <c r="K69" s="23"/>
      <c r="L69" s="23"/>
      <c r="M69" s="23"/>
      <c r="N69" s="4"/>
      <c r="O69" s="23"/>
      <c r="P69" s="23"/>
      <c r="Q69" s="4"/>
      <c r="R69" s="4"/>
      <c r="S69" s="4"/>
    </row>
    <row r="70" spans="1:19" x14ac:dyDescent="0.25">
      <c r="A70" s="876"/>
      <c r="B70" s="4"/>
      <c r="C70" s="23"/>
      <c r="D70" s="23"/>
      <c r="E70" s="23"/>
      <c r="F70" s="23"/>
      <c r="G70" s="23"/>
      <c r="H70" s="23"/>
      <c r="I70" s="23"/>
      <c r="J70" s="23"/>
      <c r="K70" s="23"/>
      <c r="L70" s="23"/>
      <c r="M70" s="23"/>
      <c r="N70" s="4"/>
      <c r="O70" s="23"/>
      <c r="P70" s="23"/>
      <c r="Q70" s="4"/>
      <c r="R70" s="4"/>
      <c r="S70" s="4"/>
    </row>
    <row r="71" spans="1:19" x14ac:dyDescent="0.25">
      <c r="A71" s="876"/>
      <c r="B71" s="4"/>
      <c r="C71" s="23"/>
      <c r="D71" s="23"/>
      <c r="E71" s="23"/>
      <c r="F71" s="23"/>
      <c r="G71" s="23"/>
      <c r="H71" s="23"/>
      <c r="I71" s="23"/>
      <c r="J71" s="23"/>
      <c r="K71" s="23"/>
      <c r="L71" s="23"/>
      <c r="M71" s="23"/>
      <c r="N71" s="4"/>
      <c r="O71" s="23"/>
      <c r="P71" s="23"/>
      <c r="Q71" s="4"/>
      <c r="R71" s="4"/>
      <c r="S71" s="4"/>
    </row>
    <row r="72" spans="1:19" x14ac:dyDescent="0.25">
      <c r="A72" s="876"/>
      <c r="B72" s="4"/>
      <c r="C72" s="23"/>
      <c r="D72" s="23"/>
      <c r="E72" s="23"/>
      <c r="F72" s="23"/>
      <c r="G72" s="23"/>
      <c r="H72" s="23"/>
      <c r="I72" s="23"/>
      <c r="J72" s="23"/>
      <c r="K72" s="23"/>
      <c r="L72" s="23"/>
      <c r="M72" s="23"/>
      <c r="N72" s="4"/>
      <c r="O72" s="23"/>
      <c r="P72" s="23"/>
      <c r="Q72" s="4"/>
      <c r="R72" s="4"/>
      <c r="S72" s="4"/>
    </row>
    <row r="73" spans="1:19" x14ac:dyDescent="0.25">
      <c r="A73" s="876"/>
      <c r="B73" s="4"/>
      <c r="C73" s="23"/>
      <c r="D73" s="23"/>
      <c r="E73" s="23"/>
      <c r="F73" s="23"/>
      <c r="G73" s="23"/>
      <c r="H73" s="23"/>
      <c r="I73" s="23"/>
      <c r="J73" s="23"/>
      <c r="K73" s="23"/>
      <c r="L73" s="23"/>
      <c r="M73" s="23"/>
      <c r="N73" s="4"/>
      <c r="O73" s="23"/>
      <c r="P73" s="23"/>
      <c r="Q73" s="4"/>
      <c r="R73" s="4"/>
      <c r="S73" s="4"/>
    </row>
    <row r="74" spans="1:19" x14ac:dyDescent="0.25">
      <c r="A74" s="876"/>
      <c r="B74" s="4"/>
      <c r="C74" s="23"/>
      <c r="D74" s="23"/>
      <c r="E74" s="23"/>
      <c r="F74" s="23"/>
      <c r="G74" s="23"/>
      <c r="H74" s="23"/>
      <c r="I74" s="23"/>
      <c r="J74" s="23"/>
      <c r="K74" s="23"/>
      <c r="L74" s="23"/>
      <c r="M74" s="23"/>
      <c r="N74" s="4"/>
      <c r="O74" s="23"/>
      <c r="P74" s="23"/>
      <c r="Q74" s="4"/>
      <c r="R74" s="4"/>
      <c r="S74" s="4"/>
    </row>
    <row r="75" spans="1:19" x14ac:dyDescent="0.25">
      <c r="A75" s="876"/>
      <c r="B75" s="4"/>
      <c r="C75" s="23"/>
      <c r="D75" s="23"/>
      <c r="E75" s="23"/>
      <c r="F75" s="23"/>
      <c r="G75" s="23"/>
      <c r="H75" s="23"/>
      <c r="I75" s="23"/>
      <c r="J75" s="23"/>
      <c r="K75" s="23"/>
      <c r="L75" s="23"/>
      <c r="M75" s="23"/>
      <c r="N75" s="4"/>
      <c r="O75" s="23"/>
      <c r="P75" s="23"/>
      <c r="Q75" s="4"/>
      <c r="R75" s="4"/>
      <c r="S75" s="4"/>
    </row>
    <row r="76" spans="1:19" x14ac:dyDescent="0.25">
      <c r="A76" s="876"/>
      <c r="B76" s="4"/>
      <c r="C76" s="23"/>
      <c r="D76" s="23"/>
      <c r="E76" s="23"/>
      <c r="F76" s="23"/>
      <c r="G76" s="23"/>
      <c r="H76" s="23"/>
      <c r="I76" s="23"/>
      <c r="J76" s="23"/>
      <c r="K76" s="23"/>
      <c r="L76" s="23"/>
      <c r="M76" s="23"/>
      <c r="N76" s="4"/>
      <c r="O76" s="23"/>
      <c r="P76" s="23"/>
      <c r="Q76" s="4"/>
      <c r="R76" s="4"/>
      <c r="S76" s="4"/>
    </row>
    <row r="77" spans="1:19" x14ac:dyDescent="0.25">
      <c r="A77" s="876"/>
      <c r="B77" s="4"/>
      <c r="C77" s="23"/>
      <c r="D77" s="23"/>
      <c r="E77" s="23"/>
      <c r="F77" s="23"/>
      <c r="G77" s="23"/>
      <c r="H77" s="23"/>
      <c r="I77" s="23"/>
      <c r="J77" s="23"/>
      <c r="K77" s="23"/>
      <c r="L77" s="23"/>
      <c r="M77" s="23"/>
      <c r="N77" s="4"/>
      <c r="O77" s="23"/>
      <c r="P77" s="23"/>
      <c r="Q77" s="4"/>
      <c r="R77" s="4"/>
      <c r="S77" s="4"/>
    </row>
    <row r="78" spans="1:19" x14ac:dyDescent="0.25">
      <c r="A78" s="876"/>
      <c r="B78" s="4"/>
      <c r="C78" s="23"/>
      <c r="D78" s="23"/>
      <c r="E78" s="23"/>
      <c r="F78" s="23"/>
      <c r="G78" s="23"/>
      <c r="H78" s="23"/>
      <c r="I78" s="23"/>
      <c r="J78" s="23"/>
      <c r="K78" s="23"/>
      <c r="L78" s="23"/>
      <c r="M78" s="23"/>
      <c r="N78" s="4"/>
      <c r="O78" s="23"/>
      <c r="P78" s="23"/>
      <c r="Q78" s="4"/>
      <c r="R78" s="4"/>
      <c r="S78" s="4"/>
    </row>
    <row r="79" spans="1:19" x14ac:dyDescent="0.25">
      <c r="A79" s="876"/>
      <c r="B79" s="4"/>
      <c r="C79" s="23"/>
      <c r="D79" s="23"/>
      <c r="E79" s="23"/>
      <c r="F79" s="23"/>
      <c r="G79" s="23"/>
      <c r="H79" s="23"/>
      <c r="I79" s="23"/>
      <c r="J79" s="23"/>
      <c r="K79" s="23"/>
      <c r="L79" s="23"/>
      <c r="M79" s="23"/>
      <c r="N79" s="4"/>
      <c r="O79" s="23"/>
      <c r="P79" s="23"/>
      <c r="Q79" s="4"/>
      <c r="R79" s="4"/>
      <c r="S79" s="4"/>
    </row>
    <row r="80" spans="1:19" x14ac:dyDescent="0.25">
      <c r="A80" s="876"/>
      <c r="B80" s="4"/>
      <c r="C80" s="23"/>
      <c r="D80" s="23"/>
      <c r="E80" s="23"/>
      <c r="F80" s="23"/>
      <c r="G80" s="23"/>
      <c r="H80" s="23"/>
      <c r="I80" s="23"/>
      <c r="J80" s="23"/>
      <c r="K80" s="23"/>
      <c r="L80" s="23"/>
      <c r="M80" s="23"/>
      <c r="N80" s="4"/>
      <c r="O80" s="23"/>
      <c r="P80" s="23"/>
      <c r="Q80" s="4"/>
      <c r="R80" s="4"/>
      <c r="S80" s="4"/>
    </row>
    <row r="81" spans="1:19" x14ac:dyDescent="0.25">
      <c r="A81" s="876"/>
      <c r="B81" s="4"/>
      <c r="C81" s="23"/>
      <c r="D81" s="23"/>
      <c r="E81" s="23"/>
      <c r="F81" s="23"/>
      <c r="G81" s="23"/>
      <c r="H81" s="23"/>
      <c r="I81" s="23"/>
      <c r="J81" s="23"/>
      <c r="K81" s="23"/>
      <c r="L81" s="23"/>
      <c r="M81" s="23"/>
      <c r="N81" s="4"/>
      <c r="O81" s="23"/>
      <c r="P81" s="23"/>
      <c r="Q81" s="4"/>
      <c r="R81" s="4"/>
      <c r="S81" s="4"/>
    </row>
    <row r="82" spans="1:19" x14ac:dyDescent="0.25">
      <c r="A82" s="876"/>
      <c r="B82" s="4"/>
      <c r="C82" s="23"/>
      <c r="D82" s="23"/>
      <c r="E82" s="23"/>
      <c r="F82" s="23"/>
      <c r="G82" s="23"/>
      <c r="H82" s="23"/>
      <c r="I82" s="23"/>
      <c r="J82" s="23"/>
      <c r="K82" s="23"/>
      <c r="L82" s="23"/>
      <c r="M82" s="23"/>
      <c r="N82" s="4"/>
      <c r="O82" s="23"/>
      <c r="P82" s="23"/>
      <c r="Q82" s="4"/>
      <c r="R82" s="4"/>
      <c r="S82" s="4"/>
    </row>
    <row r="83" spans="1:19" x14ac:dyDescent="0.25">
      <c r="A83" s="876"/>
      <c r="B83" s="4"/>
      <c r="C83" s="23"/>
      <c r="D83" s="23"/>
      <c r="E83" s="23"/>
      <c r="F83" s="23"/>
      <c r="G83" s="23"/>
      <c r="H83" s="23"/>
      <c r="I83" s="23"/>
      <c r="J83" s="23"/>
      <c r="K83" s="23"/>
      <c r="L83" s="23"/>
      <c r="M83" s="23"/>
      <c r="N83" s="4"/>
      <c r="O83" s="23"/>
      <c r="P83" s="23"/>
      <c r="Q83" s="4"/>
      <c r="R83" s="4"/>
      <c r="S83" s="4"/>
    </row>
    <row r="84" spans="1:19" x14ac:dyDescent="0.25">
      <c r="A84" s="876"/>
      <c r="B84" s="4"/>
      <c r="C84" s="23"/>
      <c r="D84" s="23"/>
      <c r="E84" s="23"/>
      <c r="F84" s="23"/>
      <c r="G84" s="23"/>
      <c r="H84" s="23"/>
      <c r="I84" s="23"/>
      <c r="J84" s="23"/>
      <c r="K84" s="23"/>
      <c r="L84" s="23"/>
      <c r="M84" s="23"/>
      <c r="N84" s="4"/>
      <c r="O84" s="23"/>
      <c r="P84" s="23"/>
      <c r="Q84" s="4"/>
      <c r="R84" s="4"/>
      <c r="S84" s="4"/>
    </row>
    <row r="85" spans="1:19" x14ac:dyDescent="0.25">
      <c r="A85" s="876"/>
      <c r="B85" s="4"/>
      <c r="C85" s="23"/>
      <c r="D85" s="23"/>
      <c r="E85" s="23"/>
      <c r="F85" s="23"/>
      <c r="G85" s="23"/>
      <c r="H85" s="23"/>
      <c r="I85" s="23"/>
      <c r="J85" s="23"/>
      <c r="K85" s="23"/>
      <c r="L85" s="23"/>
      <c r="M85" s="23"/>
      <c r="N85" s="4"/>
      <c r="O85" s="23"/>
      <c r="P85" s="23"/>
      <c r="Q85" s="4"/>
      <c r="R85" s="4"/>
      <c r="S85" s="4"/>
    </row>
    <row r="86" spans="1:19" x14ac:dyDescent="0.25">
      <c r="A86" s="876"/>
      <c r="B86" s="4"/>
      <c r="C86" s="23"/>
      <c r="D86" s="23"/>
      <c r="E86" s="23"/>
      <c r="F86" s="23"/>
      <c r="G86" s="23"/>
      <c r="H86" s="23"/>
      <c r="I86" s="23"/>
      <c r="J86" s="23"/>
      <c r="K86" s="23"/>
      <c r="L86" s="23"/>
      <c r="M86" s="23"/>
      <c r="N86" s="4"/>
      <c r="O86" s="23"/>
      <c r="P86" s="23"/>
      <c r="Q86" s="4"/>
      <c r="R86" s="4"/>
      <c r="S86" s="4"/>
    </row>
    <row r="87" spans="1:19" x14ac:dyDescent="0.25">
      <c r="A87" s="876"/>
      <c r="B87" s="4"/>
      <c r="C87" s="23"/>
      <c r="D87" s="23"/>
      <c r="E87" s="23"/>
      <c r="F87" s="23"/>
      <c r="G87" s="23"/>
      <c r="H87" s="23"/>
      <c r="I87" s="23"/>
      <c r="J87" s="23"/>
      <c r="K87" s="23"/>
      <c r="L87" s="23"/>
      <c r="M87" s="23"/>
      <c r="N87" s="4"/>
      <c r="O87" s="23"/>
      <c r="P87" s="23"/>
      <c r="Q87" s="4"/>
      <c r="R87" s="4"/>
      <c r="S87" s="4"/>
    </row>
    <row r="88" spans="1:19" x14ac:dyDescent="0.25">
      <c r="A88" s="876"/>
      <c r="B88" s="4"/>
      <c r="C88" s="23"/>
      <c r="D88" s="23"/>
      <c r="E88" s="23"/>
      <c r="F88" s="23"/>
      <c r="G88" s="23"/>
      <c r="H88" s="23"/>
      <c r="I88" s="23"/>
      <c r="J88" s="23"/>
      <c r="K88" s="23"/>
      <c r="L88" s="23"/>
      <c r="M88" s="23"/>
      <c r="N88" s="4"/>
      <c r="O88" s="23"/>
      <c r="P88" s="23"/>
      <c r="Q88" s="4"/>
      <c r="R88" s="4"/>
      <c r="S88" s="4"/>
    </row>
    <row r="89" spans="1:19" x14ac:dyDescent="0.25">
      <c r="A89" s="876"/>
      <c r="B89" s="4"/>
      <c r="C89" s="23"/>
      <c r="D89" s="23"/>
      <c r="E89" s="23"/>
      <c r="F89" s="23"/>
      <c r="G89" s="23"/>
      <c r="H89" s="23"/>
      <c r="I89" s="23"/>
      <c r="J89" s="23"/>
      <c r="K89" s="23"/>
      <c r="L89" s="23"/>
      <c r="M89" s="23"/>
      <c r="N89" s="4"/>
      <c r="O89" s="23"/>
      <c r="P89" s="23"/>
      <c r="Q89" s="4"/>
      <c r="R89" s="4"/>
      <c r="S89" s="4"/>
    </row>
    <row r="90" spans="1:19" x14ac:dyDescent="0.25">
      <c r="A90" s="876"/>
      <c r="B90" s="4"/>
      <c r="C90" s="23"/>
      <c r="D90" s="23"/>
      <c r="E90" s="23"/>
      <c r="F90" s="23"/>
      <c r="G90" s="23"/>
      <c r="H90" s="23"/>
      <c r="I90" s="23"/>
      <c r="J90" s="23"/>
      <c r="K90" s="23"/>
      <c r="L90" s="23"/>
      <c r="M90" s="23"/>
      <c r="N90" s="4"/>
      <c r="O90" s="23"/>
      <c r="P90" s="23"/>
      <c r="Q90" s="4"/>
      <c r="R90" s="4"/>
      <c r="S90" s="4"/>
    </row>
    <row r="91" spans="1:19" x14ac:dyDescent="0.25">
      <c r="A91" s="876"/>
      <c r="B91" s="4"/>
      <c r="C91" s="23"/>
      <c r="D91" s="23"/>
      <c r="E91" s="23"/>
      <c r="F91" s="23"/>
      <c r="G91" s="23"/>
      <c r="H91" s="23"/>
      <c r="I91" s="23"/>
      <c r="J91" s="23"/>
      <c r="K91" s="23"/>
      <c r="L91" s="23"/>
      <c r="M91" s="23"/>
      <c r="N91" s="4"/>
      <c r="O91" s="23"/>
      <c r="P91" s="23"/>
      <c r="Q91" s="4"/>
      <c r="R91" s="4"/>
      <c r="S91" s="4"/>
    </row>
    <row r="92" spans="1:19" x14ac:dyDescent="0.25">
      <c r="A92" s="876"/>
      <c r="B92" s="4"/>
      <c r="C92" s="23"/>
      <c r="D92" s="23"/>
      <c r="E92" s="23"/>
      <c r="F92" s="23"/>
      <c r="G92" s="23"/>
      <c r="H92" s="23"/>
      <c r="I92" s="23"/>
      <c r="J92" s="23"/>
      <c r="K92" s="23"/>
      <c r="L92" s="23"/>
      <c r="M92" s="23"/>
      <c r="N92" s="4"/>
      <c r="O92" s="23"/>
      <c r="P92" s="23"/>
      <c r="Q92" s="4"/>
      <c r="R92" s="4"/>
      <c r="S92" s="4"/>
    </row>
    <row r="93" spans="1:19" x14ac:dyDescent="0.25">
      <c r="A93" s="876"/>
      <c r="B93" s="4"/>
      <c r="C93" s="23"/>
      <c r="D93" s="23"/>
      <c r="E93" s="23"/>
      <c r="F93" s="23"/>
      <c r="G93" s="23"/>
      <c r="H93" s="23"/>
      <c r="I93" s="23"/>
      <c r="J93" s="23"/>
      <c r="K93" s="23"/>
      <c r="L93" s="23"/>
      <c r="M93" s="23"/>
      <c r="N93" s="4"/>
      <c r="O93" s="23"/>
      <c r="P93" s="23"/>
      <c r="Q93" s="4"/>
      <c r="R93" s="4"/>
      <c r="S93" s="4"/>
    </row>
    <row r="94" spans="1:19" x14ac:dyDescent="0.25">
      <c r="A94" s="876"/>
      <c r="B94" s="4"/>
      <c r="C94" s="23"/>
      <c r="D94" s="23"/>
      <c r="E94" s="23"/>
      <c r="F94" s="23"/>
      <c r="G94" s="23"/>
      <c r="H94" s="23"/>
      <c r="I94" s="23"/>
      <c r="J94" s="23"/>
      <c r="K94" s="23"/>
      <c r="L94" s="23"/>
      <c r="M94" s="23"/>
      <c r="N94" s="4"/>
      <c r="O94" s="23"/>
      <c r="P94" s="23"/>
      <c r="Q94" s="4"/>
      <c r="R94" s="4"/>
      <c r="S94" s="4"/>
    </row>
    <row r="95" spans="1:19" x14ac:dyDescent="0.25">
      <c r="A95" s="876"/>
      <c r="B95" s="4"/>
      <c r="C95" s="23"/>
      <c r="D95" s="23"/>
      <c r="E95" s="23"/>
      <c r="F95" s="23"/>
      <c r="G95" s="23"/>
      <c r="H95" s="23"/>
      <c r="I95" s="23"/>
      <c r="J95" s="23"/>
      <c r="K95" s="23"/>
      <c r="L95" s="23"/>
      <c r="M95" s="23"/>
      <c r="N95" s="4"/>
      <c r="O95" s="23"/>
      <c r="P95" s="23"/>
      <c r="Q95" s="4"/>
      <c r="R95" s="4"/>
      <c r="S95" s="4"/>
    </row>
    <row r="96" spans="1:19" x14ac:dyDescent="0.25">
      <c r="A96" s="876"/>
      <c r="B96" s="4"/>
      <c r="C96" s="23"/>
      <c r="D96" s="23"/>
      <c r="E96" s="23"/>
      <c r="F96" s="23"/>
      <c r="G96" s="23"/>
      <c r="H96" s="23"/>
      <c r="I96" s="23"/>
      <c r="J96" s="23"/>
      <c r="K96" s="23"/>
      <c r="L96" s="23"/>
      <c r="M96" s="23"/>
      <c r="N96" s="4"/>
      <c r="O96" s="23"/>
      <c r="P96" s="23"/>
      <c r="Q96" s="4"/>
      <c r="R96" s="4"/>
      <c r="S96" s="4"/>
    </row>
    <row r="97" spans="1:19" x14ac:dyDescent="0.25">
      <c r="A97" s="876"/>
      <c r="B97" s="4"/>
      <c r="C97" s="23"/>
      <c r="D97" s="23"/>
      <c r="E97" s="23"/>
      <c r="F97" s="23"/>
      <c r="G97" s="23"/>
      <c r="H97" s="23"/>
      <c r="I97" s="23"/>
      <c r="J97" s="23"/>
      <c r="K97" s="23"/>
      <c r="L97" s="23"/>
      <c r="M97" s="23"/>
      <c r="N97" s="4"/>
      <c r="O97" s="23"/>
      <c r="P97" s="23"/>
      <c r="Q97" s="4"/>
      <c r="R97" s="4"/>
      <c r="S97" s="4"/>
    </row>
    <row r="98" spans="1:19" x14ac:dyDescent="0.25">
      <c r="A98" s="876"/>
      <c r="B98" s="4"/>
      <c r="C98" s="23"/>
      <c r="D98" s="23"/>
      <c r="E98" s="23"/>
      <c r="F98" s="23"/>
      <c r="G98" s="23"/>
      <c r="H98" s="23"/>
      <c r="I98" s="23"/>
      <c r="J98" s="23"/>
      <c r="K98" s="23"/>
      <c r="L98" s="23"/>
      <c r="M98" s="23"/>
      <c r="N98" s="4"/>
      <c r="O98" s="23"/>
      <c r="P98" s="23"/>
      <c r="Q98" s="4"/>
      <c r="R98" s="4"/>
      <c r="S98" s="4"/>
    </row>
    <row r="99" spans="1:19" x14ac:dyDescent="0.25">
      <c r="A99" s="876"/>
      <c r="B99" s="4"/>
      <c r="C99" s="23"/>
      <c r="D99" s="23"/>
      <c r="E99" s="23"/>
      <c r="F99" s="23"/>
      <c r="G99" s="23"/>
      <c r="H99" s="23"/>
      <c r="I99" s="23"/>
      <c r="J99" s="23"/>
      <c r="K99" s="23"/>
      <c r="L99" s="23"/>
      <c r="M99" s="23"/>
      <c r="N99" s="4"/>
      <c r="O99" s="23"/>
      <c r="P99" s="23"/>
      <c r="Q99" s="4"/>
      <c r="R99" s="4"/>
      <c r="S99" s="4"/>
    </row>
    <row r="100" spans="1:19" x14ac:dyDescent="0.25">
      <c r="A100" s="876"/>
      <c r="B100" s="4"/>
      <c r="C100" s="23"/>
      <c r="D100" s="23"/>
      <c r="E100" s="23"/>
      <c r="F100" s="23"/>
      <c r="G100" s="23"/>
      <c r="H100" s="23"/>
      <c r="I100" s="23"/>
      <c r="J100" s="23"/>
      <c r="K100" s="23"/>
      <c r="L100" s="23"/>
      <c r="M100" s="23"/>
      <c r="N100" s="4"/>
      <c r="O100" s="23"/>
      <c r="P100" s="23"/>
      <c r="Q100" s="4"/>
      <c r="R100" s="4"/>
      <c r="S100" s="4"/>
    </row>
    <row r="101" spans="1:19" x14ac:dyDescent="0.25">
      <c r="A101" s="876"/>
      <c r="B101" s="4"/>
      <c r="C101" s="23"/>
      <c r="D101" s="23"/>
      <c r="E101" s="23"/>
      <c r="F101" s="23"/>
      <c r="G101" s="23"/>
      <c r="H101" s="23"/>
      <c r="I101" s="23"/>
      <c r="J101" s="23"/>
      <c r="K101" s="23"/>
      <c r="L101" s="23"/>
      <c r="M101" s="23"/>
      <c r="N101" s="4"/>
      <c r="O101" s="23"/>
      <c r="P101" s="23"/>
      <c r="Q101" s="4"/>
      <c r="R101" s="4"/>
      <c r="S101" s="4"/>
    </row>
    <row r="102" spans="1:19" x14ac:dyDescent="0.25">
      <c r="A102" s="876"/>
      <c r="B102" s="4"/>
      <c r="C102" s="23"/>
      <c r="D102" s="23"/>
      <c r="E102" s="23"/>
      <c r="F102" s="23"/>
      <c r="G102" s="23"/>
      <c r="H102" s="23"/>
      <c r="I102" s="23"/>
      <c r="J102" s="23"/>
      <c r="K102" s="23"/>
      <c r="L102" s="23"/>
      <c r="M102" s="23"/>
      <c r="N102" s="4"/>
      <c r="O102" s="23"/>
      <c r="P102" s="23"/>
      <c r="Q102" s="4"/>
      <c r="R102" s="4"/>
      <c r="S102" s="4"/>
    </row>
    <row r="103" spans="1:19" x14ac:dyDescent="0.25">
      <c r="A103" s="876"/>
      <c r="B103" s="4"/>
      <c r="C103" s="23"/>
      <c r="D103" s="23"/>
      <c r="E103" s="23"/>
      <c r="F103" s="23"/>
      <c r="G103" s="23"/>
      <c r="H103" s="23"/>
      <c r="I103" s="23"/>
      <c r="J103" s="23"/>
      <c r="K103" s="23"/>
      <c r="L103" s="23"/>
      <c r="M103" s="23"/>
      <c r="N103" s="4"/>
      <c r="O103" s="23"/>
      <c r="P103" s="23"/>
      <c r="Q103" s="4"/>
      <c r="R103" s="4"/>
      <c r="S103" s="4"/>
    </row>
    <row r="104" spans="1:19" x14ac:dyDescent="0.25">
      <c r="A104" s="876"/>
      <c r="B104" s="4"/>
      <c r="C104" s="23"/>
      <c r="D104" s="23"/>
      <c r="E104" s="23"/>
      <c r="F104" s="23"/>
      <c r="G104" s="23"/>
      <c r="H104" s="23"/>
      <c r="I104" s="23"/>
      <c r="J104" s="23"/>
      <c r="K104" s="23"/>
      <c r="L104" s="23"/>
      <c r="M104" s="23"/>
      <c r="N104" s="4"/>
      <c r="O104" s="23"/>
      <c r="P104" s="23"/>
      <c r="Q104" s="4"/>
      <c r="R104" s="4"/>
      <c r="S104" s="4"/>
    </row>
    <row r="105" spans="1:19" x14ac:dyDescent="0.25">
      <c r="A105" s="876"/>
      <c r="B105" s="4"/>
      <c r="C105" s="23"/>
      <c r="D105" s="23"/>
      <c r="E105" s="23"/>
      <c r="F105" s="23"/>
      <c r="G105" s="23"/>
      <c r="H105" s="23"/>
      <c r="I105" s="23"/>
      <c r="J105" s="23"/>
      <c r="K105" s="23"/>
      <c r="L105" s="23"/>
      <c r="M105" s="23"/>
      <c r="N105" s="4"/>
      <c r="O105" s="23"/>
      <c r="P105" s="23"/>
      <c r="Q105" s="4"/>
      <c r="R105" s="4"/>
      <c r="S105" s="4"/>
    </row>
    <row r="106" spans="1:19" x14ac:dyDescent="0.25">
      <c r="A106" s="876"/>
      <c r="B106" s="4"/>
      <c r="C106" s="23"/>
      <c r="D106" s="23"/>
      <c r="E106" s="23"/>
      <c r="F106" s="23"/>
      <c r="G106" s="23"/>
      <c r="H106" s="23"/>
      <c r="I106" s="23"/>
      <c r="J106" s="23"/>
      <c r="K106" s="23"/>
      <c r="L106" s="23"/>
      <c r="M106" s="23"/>
      <c r="N106" s="4"/>
      <c r="O106" s="23"/>
      <c r="P106" s="23"/>
      <c r="Q106" s="4"/>
      <c r="R106" s="4"/>
      <c r="S106" s="4"/>
    </row>
    <row r="107" spans="1:19" x14ac:dyDescent="0.25">
      <c r="A107" s="876"/>
      <c r="B107" s="4"/>
      <c r="C107" s="23"/>
      <c r="D107" s="23"/>
      <c r="E107" s="23"/>
      <c r="F107" s="23"/>
      <c r="G107" s="23"/>
      <c r="H107" s="23"/>
      <c r="I107" s="23"/>
      <c r="J107" s="23"/>
      <c r="K107" s="23"/>
      <c r="L107" s="23"/>
      <c r="M107" s="23"/>
      <c r="N107" s="4"/>
      <c r="O107" s="23"/>
      <c r="P107" s="23"/>
      <c r="Q107" s="4"/>
      <c r="R107" s="4"/>
      <c r="S107" s="4"/>
    </row>
    <row r="108" spans="1:19" x14ac:dyDescent="0.25">
      <c r="A108" s="876"/>
      <c r="B108" s="4"/>
      <c r="C108" s="23"/>
      <c r="D108" s="23"/>
      <c r="E108" s="23"/>
      <c r="F108" s="23"/>
      <c r="G108" s="23"/>
      <c r="H108" s="23"/>
      <c r="I108" s="23"/>
      <c r="J108" s="23"/>
      <c r="K108" s="23"/>
      <c r="L108" s="23"/>
      <c r="M108" s="23"/>
      <c r="N108" s="4"/>
      <c r="O108" s="23"/>
      <c r="P108" s="23"/>
      <c r="Q108" s="4"/>
      <c r="R108" s="4"/>
      <c r="S108" s="4"/>
    </row>
    <row r="109" spans="1:19" x14ac:dyDescent="0.25">
      <c r="A109" s="876"/>
      <c r="B109" s="4"/>
      <c r="C109" s="23"/>
      <c r="D109" s="23"/>
      <c r="E109" s="23"/>
      <c r="F109" s="23"/>
      <c r="G109" s="23"/>
      <c r="H109" s="23"/>
      <c r="I109" s="23"/>
      <c r="J109" s="23"/>
      <c r="K109" s="23"/>
      <c r="L109" s="23"/>
      <c r="M109" s="23"/>
      <c r="N109" s="4"/>
      <c r="O109" s="23"/>
      <c r="P109" s="23"/>
      <c r="Q109" s="4"/>
      <c r="R109" s="4"/>
      <c r="S109" s="4"/>
    </row>
    <row r="110" spans="1:19" x14ac:dyDescent="0.25">
      <c r="A110" s="876"/>
      <c r="B110" s="4"/>
      <c r="C110" s="23"/>
      <c r="D110" s="23"/>
      <c r="E110" s="23"/>
      <c r="F110" s="23"/>
      <c r="G110" s="23"/>
      <c r="H110" s="23"/>
      <c r="I110" s="23"/>
      <c r="J110" s="23"/>
      <c r="K110" s="23"/>
      <c r="L110" s="23"/>
      <c r="M110" s="23"/>
      <c r="N110" s="4"/>
      <c r="O110" s="23"/>
      <c r="P110" s="23"/>
      <c r="Q110" s="4"/>
      <c r="R110" s="4"/>
      <c r="S110" s="4"/>
    </row>
    <row r="111" spans="1:19" x14ac:dyDescent="0.25">
      <c r="A111" s="876"/>
      <c r="B111" s="4"/>
      <c r="C111" s="23"/>
      <c r="D111" s="23"/>
      <c r="E111" s="23"/>
      <c r="F111" s="23"/>
      <c r="G111" s="23"/>
      <c r="H111" s="23"/>
      <c r="I111" s="23"/>
      <c r="J111" s="23"/>
      <c r="K111" s="23"/>
      <c r="L111" s="23"/>
      <c r="M111" s="23"/>
      <c r="N111" s="4"/>
      <c r="O111" s="23"/>
      <c r="P111" s="23"/>
      <c r="Q111" s="4"/>
      <c r="R111" s="4"/>
      <c r="S111" s="4"/>
    </row>
    <row r="112" spans="1:19" x14ac:dyDescent="0.25">
      <c r="A112" s="876"/>
      <c r="B112" s="4"/>
      <c r="C112" s="23"/>
      <c r="D112" s="23"/>
      <c r="E112" s="23"/>
      <c r="F112" s="23"/>
      <c r="G112" s="23"/>
      <c r="H112" s="23"/>
      <c r="I112" s="23"/>
      <c r="J112" s="23"/>
      <c r="K112" s="23"/>
      <c r="L112" s="23"/>
      <c r="M112" s="23"/>
      <c r="N112" s="4"/>
      <c r="O112" s="23"/>
      <c r="P112" s="23"/>
      <c r="Q112" s="4"/>
      <c r="R112" s="4"/>
      <c r="S112" s="4"/>
    </row>
    <row r="113" spans="1:19" x14ac:dyDescent="0.25">
      <c r="A113" s="876"/>
      <c r="B113" s="4"/>
      <c r="C113" s="23"/>
      <c r="D113" s="23"/>
      <c r="E113" s="23"/>
      <c r="F113" s="23"/>
      <c r="G113" s="23"/>
      <c r="H113" s="23"/>
      <c r="I113" s="23"/>
      <c r="J113" s="23"/>
      <c r="K113" s="23"/>
      <c r="L113" s="23"/>
      <c r="M113" s="23"/>
      <c r="N113" s="4"/>
      <c r="O113" s="23"/>
      <c r="P113" s="23"/>
      <c r="Q113" s="4"/>
      <c r="R113" s="4"/>
      <c r="S113" s="4"/>
    </row>
    <row r="114" spans="1:19" x14ac:dyDescent="0.25">
      <c r="A114" s="876"/>
      <c r="B114" s="4"/>
      <c r="C114" s="23"/>
      <c r="D114" s="23"/>
      <c r="E114" s="23"/>
      <c r="F114" s="23"/>
      <c r="G114" s="23"/>
      <c r="H114" s="23"/>
      <c r="I114" s="23"/>
      <c r="J114" s="23"/>
      <c r="K114" s="23"/>
      <c r="L114" s="23"/>
      <c r="M114" s="23"/>
      <c r="N114" s="4"/>
      <c r="O114" s="23"/>
      <c r="P114" s="23"/>
      <c r="Q114" s="4"/>
      <c r="R114" s="4"/>
      <c r="S114" s="4"/>
    </row>
    <row r="115" spans="1:19" x14ac:dyDescent="0.25">
      <c r="A115" s="876"/>
      <c r="B115" s="4"/>
      <c r="C115" s="23"/>
      <c r="D115" s="23"/>
      <c r="E115" s="23"/>
      <c r="F115" s="23"/>
      <c r="G115" s="23"/>
      <c r="H115" s="23"/>
      <c r="I115" s="23"/>
      <c r="J115" s="23"/>
      <c r="K115" s="23"/>
      <c r="L115" s="23"/>
      <c r="M115" s="23"/>
      <c r="N115" s="4"/>
      <c r="O115" s="23"/>
      <c r="P115" s="23"/>
      <c r="Q115" s="4"/>
      <c r="R115" s="4"/>
      <c r="S115" s="4"/>
    </row>
    <row r="116" spans="1:19" x14ac:dyDescent="0.25">
      <c r="A116" s="876"/>
      <c r="B116" s="4"/>
      <c r="C116" s="23"/>
      <c r="D116" s="23"/>
      <c r="E116" s="23"/>
      <c r="F116" s="23"/>
      <c r="G116" s="23"/>
      <c r="H116" s="23"/>
      <c r="I116" s="23"/>
      <c r="J116" s="23"/>
      <c r="K116" s="23"/>
      <c r="L116" s="23"/>
      <c r="M116" s="23"/>
      <c r="N116" s="4"/>
      <c r="O116" s="23"/>
      <c r="P116" s="23"/>
      <c r="Q116" s="4"/>
      <c r="R116" s="4"/>
      <c r="S116" s="4"/>
    </row>
    <row r="117" spans="1:19" x14ac:dyDescent="0.25">
      <c r="A117" s="876"/>
      <c r="B117" s="4"/>
      <c r="C117" s="23"/>
      <c r="D117" s="23"/>
      <c r="E117" s="23"/>
      <c r="F117" s="23"/>
      <c r="G117" s="23"/>
      <c r="H117" s="23"/>
      <c r="I117" s="23"/>
      <c r="J117" s="23"/>
      <c r="K117" s="23"/>
      <c r="L117" s="23"/>
      <c r="M117" s="23"/>
      <c r="N117" s="4"/>
      <c r="O117" s="23"/>
      <c r="P117" s="23"/>
      <c r="Q117" s="4"/>
      <c r="R117" s="4"/>
      <c r="S117" s="4"/>
    </row>
    <row r="118" spans="1:19" x14ac:dyDescent="0.25">
      <c r="A118" s="876"/>
      <c r="B118" s="4"/>
      <c r="C118" s="23"/>
      <c r="D118" s="23"/>
      <c r="E118" s="23"/>
      <c r="F118" s="23"/>
      <c r="G118" s="23"/>
      <c r="H118" s="23"/>
      <c r="I118" s="23"/>
      <c r="J118" s="23"/>
      <c r="K118" s="23"/>
      <c r="L118" s="23"/>
      <c r="M118" s="23"/>
      <c r="N118" s="4"/>
      <c r="O118" s="23"/>
      <c r="P118" s="23"/>
      <c r="Q118" s="4"/>
      <c r="R118" s="4"/>
      <c r="S118" s="4"/>
    </row>
    <row r="119" spans="1:19" x14ac:dyDescent="0.25">
      <c r="A119" s="876"/>
      <c r="B119" s="4"/>
      <c r="C119" s="23"/>
      <c r="D119" s="23"/>
      <c r="E119" s="23"/>
      <c r="F119" s="23"/>
      <c r="G119" s="23"/>
      <c r="H119" s="23"/>
      <c r="I119" s="23"/>
      <c r="J119" s="23"/>
      <c r="K119" s="23"/>
      <c r="L119" s="23"/>
      <c r="M119" s="23"/>
      <c r="N119" s="4"/>
      <c r="O119" s="23"/>
      <c r="P119" s="23"/>
      <c r="Q119" s="4"/>
      <c r="R119" s="4"/>
      <c r="S119" s="4"/>
    </row>
    <row r="120" spans="1:19" x14ac:dyDescent="0.25">
      <c r="A120" s="876"/>
      <c r="B120" s="4"/>
      <c r="C120" s="23"/>
      <c r="D120" s="23"/>
      <c r="E120" s="23"/>
      <c r="F120" s="23"/>
      <c r="G120" s="23"/>
      <c r="H120" s="23"/>
      <c r="I120" s="23"/>
      <c r="J120" s="23"/>
      <c r="K120" s="23"/>
      <c r="L120" s="23"/>
      <c r="M120" s="23"/>
      <c r="N120" s="4"/>
      <c r="O120" s="23"/>
      <c r="P120" s="23"/>
      <c r="Q120" s="4"/>
      <c r="R120" s="4"/>
      <c r="S120" s="4"/>
    </row>
    <row r="121" spans="1:19" x14ac:dyDescent="0.25">
      <c r="A121" s="876"/>
      <c r="B121" s="4"/>
      <c r="C121" s="23"/>
      <c r="D121" s="23"/>
      <c r="E121" s="23"/>
      <c r="F121" s="23"/>
      <c r="G121" s="23"/>
      <c r="H121" s="23"/>
      <c r="I121" s="23"/>
      <c r="J121" s="23"/>
      <c r="K121" s="23"/>
      <c r="L121" s="23"/>
      <c r="M121" s="23"/>
      <c r="N121" s="4"/>
      <c r="O121" s="23"/>
      <c r="P121" s="23"/>
      <c r="Q121" s="4"/>
      <c r="R121" s="4"/>
      <c r="S121" s="4"/>
    </row>
    <row r="122" spans="1:19" x14ac:dyDescent="0.25">
      <c r="A122" s="876"/>
      <c r="B122" s="4"/>
      <c r="C122" s="23"/>
      <c r="D122" s="23"/>
      <c r="E122" s="23"/>
      <c r="F122" s="23"/>
      <c r="G122" s="23"/>
      <c r="H122" s="23"/>
      <c r="I122" s="23"/>
      <c r="J122" s="23"/>
      <c r="K122" s="23"/>
      <c r="L122" s="23"/>
      <c r="M122" s="23"/>
      <c r="N122" s="4"/>
      <c r="O122" s="23"/>
      <c r="P122" s="23"/>
      <c r="Q122" s="4"/>
      <c r="R122" s="4"/>
      <c r="S122" s="4"/>
    </row>
    <row r="123" spans="1:19" x14ac:dyDescent="0.25">
      <c r="C123" s="114"/>
    </row>
    <row r="124" spans="1:19" x14ac:dyDescent="0.25">
      <c r="C124" s="114"/>
    </row>
    <row r="125" spans="1:19" x14ac:dyDescent="0.25">
      <c r="C125" s="114"/>
    </row>
    <row r="126" spans="1:19" x14ac:dyDescent="0.25">
      <c r="C126" s="114"/>
    </row>
    <row r="127" spans="1:19" x14ac:dyDescent="0.25">
      <c r="C127" s="114"/>
    </row>
    <row r="128" spans="1:19" x14ac:dyDescent="0.25">
      <c r="C128" s="114"/>
    </row>
    <row r="129" spans="3:3" x14ac:dyDescent="0.25">
      <c r="C129" s="114"/>
    </row>
    <row r="130" spans="3:3" x14ac:dyDescent="0.25">
      <c r="C130" s="114"/>
    </row>
    <row r="131" spans="3:3" x14ac:dyDescent="0.25">
      <c r="C131" s="114"/>
    </row>
    <row r="132" spans="3:3" x14ac:dyDescent="0.25">
      <c r="C132" s="114"/>
    </row>
    <row r="133" spans="3:3" x14ac:dyDescent="0.25">
      <c r="C133" s="114"/>
    </row>
    <row r="134" spans="3:3" x14ac:dyDescent="0.25">
      <c r="C134" s="114"/>
    </row>
    <row r="135" spans="3:3" x14ac:dyDescent="0.25">
      <c r="C135" s="114"/>
    </row>
    <row r="136" spans="3:3" x14ac:dyDescent="0.25">
      <c r="C136" s="114"/>
    </row>
    <row r="137" spans="3:3" x14ac:dyDescent="0.25">
      <c r="C137" s="114"/>
    </row>
    <row r="138" spans="3:3" x14ac:dyDescent="0.25">
      <c r="C138" s="114"/>
    </row>
    <row r="139" spans="3:3" x14ac:dyDescent="0.25">
      <c r="C139" s="114"/>
    </row>
    <row r="140" spans="3:3" x14ac:dyDescent="0.25">
      <c r="C140" s="114"/>
    </row>
    <row r="141" spans="3:3" x14ac:dyDescent="0.25">
      <c r="C141" s="114"/>
    </row>
    <row r="142" spans="3:3" x14ac:dyDescent="0.25">
      <c r="C142" s="114"/>
    </row>
    <row r="143" spans="3:3" x14ac:dyDescent="0.25">
      <c r="C143" s="114"/>
    </row>
    <row r="144" spans="3:3" x14ac:dyDescent="0.25">
      <c r="C144" s="114"/>
    </row>
    <row r="145" spans="3:3" x14ac:dyDescent="0.25">
      <c r="C145" s="114"/>
    </row>
    <row r="146" spans="3:3" x14ac:dyDescent="0.25">
      <c r="C146" s="114"/>
    </row>
    <row r="147" spans="3:3" x14ac:dyDescent="0.25">
      <c r="C147" s="114"/>
    </row>
    <row r="148" spans="3:3" x14ac:dyDescent="0.25">
      <c r="C148" s="114"/>
    </row>
    <row r="149" spans="3:3" x14ac:dyDescent="0.25">
      <c r="C149" s="114"/>
    </row>
    <row r="150" spans="3:3" x14ac:dyDescent="0.25">
      <c r="C150" s="114"/>
    </row>
    <row r="151" spans="3:3" x14ac:dyDescent="0.25">
      <c r="C151" s="114"/>
    </row>
    <row r="152" spans="3:3" x14ac:dyDescent="0.25">
      <c r="C152" s="114"/>
    </row>
    <row r="153" spans="3:3" x14ac:dyDescent="0.25">
      <c r="C153" s="114"/>
    </row>
    <row r="154" spans="3:3" x14ac:dyDescent="0.25">
      <c r="C154" s="114"/>
    </row>
    <row r="155" spans="3:3" x14ac:dyDescent="0.25">
      <c r="C155" s="114"/>
    </row>
    <row r="156" spans="3:3" x14ac:dyDescent="0.25">
      <c r="C156" s="114"/>
    </row>
    <row r="157" spans="3:3" x14ac:dyDescent="0.25">
      <c r="C157" s="114"/>
    </row>
    <row r="158" spans="3:3" x14ac:dyDescent="0.25">
      <c r="C158" s="114"/>
    </row>
    <row r="159" spans="3:3" x14ac:dyDescent="0.25">
      <c r="C159" s="114"/>
    </row>
    <row r="160" spans="3:3" x14ac:dyDescent="0.25">
      <c r="C160" s="114"/>
    </row>
    <row r="161" spans="3:3" x14ac:dyDescent="0.25">
      <c r="C161" s="114"/>
    </row>
    <row r="162" spans="3:3" x14ac:dyDescent="0.25">
      <c r="C162" s="114"/>
    </row>
    <row r="163" spans="3:3" x14ac:dyDescent="0.25">
      <c r="C163" s="114"/>
    </row>
    <row r="164" spans="3:3" x14ac:dyDescent="0.25">
      <c r="C164" s="114"/>
    </row>
    <row r="165" spans="3:3" x14ac:dyDescent="0.25">
      <c r="C165" s="114"/>
    </row>
    <row r="166" spans="3:3" x14ac:dyDescent="0.25">
      <c r="C166" s="114"/>
    </row>
    <row r="167" spans="3:3" x14ac:dyDescent="0.25">
      <c r="C167" s="114"/>
    </row>
    <row r="168" spans="3:3" x14ac:dyDescent="0.25">
      <c r="C168" s="114"/>
    </row>
    <row r="169" spans="3:3" x14ac:dyDescent="0.25">
      <c r="C169" s="114"/>
    </row>
  </sheetData>
  <phoneticPr fontId="0" type="noConversion"/>
  <hyperlinks>
    <hyperlink ref="A1" location="'Working Budget with funding det'!A1" display="Main " xr:uid="{00000000-0004-0000-1100-000000000000}"/>
    <hyperlink ref="B1" location="'Table of Contents'!A1" display="TOC" xr:uid="{00000000-0004-0000-1100-000001000000}"/>
  </hyperlinks>
  <pageMargins left="0.75" right="0.75" top="1" bottom="1" header="0.5" footer="0.5"/>
  <pageSetup orientation="landscape" horizontalDpi="300" verticalDpi="300" r:id="rId1"/>
  <headerFooter alignWithMargins="0">
    <oddFooter xml:space="preserve">&amp;L&amp;D     &amp;T&amp;C&amp;F&amp;R&amp;A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pageSetUpPr fitToPage="1"/>
  </sheetPr>
  <dimension ref="A1:S54"/>
  <sheetViews>
    <sheetView zoomScaleNormal="100" workbookViewId="0">
      <selection activeCell="P1" sqref="P1:P1048576"/>
    </sheetView>
  </sheetViews>
  <sheetFormatPr defaultRowHeight="13.2" x14ac:dyDescent="0.25"/>
  <cols>
    <col min="1" max="1" width="11.33203125" style="885" customWidth="1"/>
    <col min="2" max="2" width="39.6640625" customWidth="1"/>
    <col min="3" max="10" width="13" hidden="1" customWidth="1"/>
    <col min="11" max="16" width="13" customWidth="1"/>
  </cols>
  <sheetData>
    <row r="1" spans="1:16" x14ac:dyDescent="0.25">
      <c r="A1" s="874" t="s">
        <v>1021</v>
      </c>
      <c r="B1" s="371" t="s">
        <v>1348</v>
      </c>
      <c r="C1" s="23"/>
      <c r="D1" s="23"/>
      <c r="E1" s="23"/>
      <c r="F1" s="23"/>
      <c r="G1" s="23"/>
      <c r="H1" s="23"/>
      <c r="I1" s="23"/>
      <c r="J1" s="23"/>
      <c r="K1" s="23"/>
      <c r="L1" s="23"/>
      <c r="M1" s="23"/>
      <c r="N1" s="4"/>
      <c r="O1" s="23"/>
      <c r="P1" s="23"/>
    </row>
    <row r="2" spans="1:16" ht="13.8" x14ac:dyDescent="0.25">
      <c r="A2" s="876" t="s">
        <v>259</v>
      </c>
      <c r="B2" s="4"/>
      <c r="C2" s="23"/>
      <c r="F2" s="79" t="s">
        <v>946</v>
      </c>
      <c r="J2" s="23"/>
      <c r="K2" s="23"/>
      <c r="L2" s="23"/>
      <c r="M2" s="23"/>
      <c r="N2" s="46" t="s">
        <v>1482</v>
      </c>
      <c r="O2" s="23"/>
      <c r="P2" s="78" t="s">
        <v>947</v>
      </c>
    </row>
    <row r="3" spans="1:16" ht="13.8" thickBot="1" x14ac:dyDescent="0.3">
      <c r="A3" s="876"/>
      <c r="B3" s="4"/>
      <c r="C3" s="23"/>
      <c r="D3" s="23"/>
      <c r="E3" s="23"/>
      <c r="F3" s="23"/>
      <c r="G3" s="23"/>
      <c r="H3" s="23"/>
      <c r="I3" s="23"/>
      <c r="J3" s="23"/>
      <c r="K3" s="23"/>
      <c r="L3" s="23"/>
      <c r="M3" s="23"/>
      <c r="N3" s="4"/>
      <c r="O3" s="23"/>
      <c r="P3" s="4"/>
    </row>
    <row r="4" spans="1:16" ht="13.8" thickTop="1" x14ac:dyDescent="0.25">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t="s">
        <v>910</v>
      </c>
    </row>
    <row r="5" spans="1:16" x14ac:dyDescent="0.25">
      <c r="A5" s="878"/>
      <c r="B5" s="209"/>
      <c r="C5" s="127"/>
      <c r="D5" s="87"/>
      <c r="E5" s="113"/>
      <c r="F5" s="87"/>
      <c r="G5" s="87"/>
      <c r="H5" s="113"/>
      <c r="I5" s="290"/>
      <c r="J5" s="290"/>
      <c r="K5" s="290"/>
      <c r="L5" s="290"/>
      <c r="M5" s="290"/>
      <c r="N5" s="113" t="s">
        <v>515</v>
      </c>
      <c r="O5" s="88" t="s">
        <v>7</v>
      </c>
      <c r="P5" s="203" t="s">
        <v>782</v>
      </c>
    </row>
    <row r="6" spans="1:16" x14ac:dyDescent="0.25">
      <c r="A6" s="878"/>
      <c r="B6" s="209"/>
      <c r="C6" s="127"/>
      <c r="D6" s="127"/>
      <c r="E6" s="127"/>
      <c r="F6" s="127"/>
      <c r="G6" s="127"/>
      <c r="H6" s="127"/>
      <c r="I6" s="88"/>
      <c r="J6" s="88"/>
      <c r="K6" s="88"/>
      <c r="L6" s="88"/>
      <c r="M6" s="88"/>
      <c r="N6" s="127"/>
      <c r="O6" s="88" t="s">
        <v>8</v>
      </c>
      <c r="P6" s="47" t="s">
        <v>543</v>
      </c>
    </row>
    <row r="7" spans="1:16"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44561</v>
      </c>
      <c r="O7" s="9" t="s">
        <v>9</v>
      </c>
      <c r="P7" s="9" t="s">
        <v>546</v>
      </c>
    </row>
    <row r="8" spans="1:16" ht="13.8" thickTop="1" x14ac:dyDescent="0.25">
      <c r="A8" s="908"/>
      <c r="B8" s="210"/>
      <c r="C8" s="132"/>
      <c r="D8" s="18"/>
      <c r="E8" s="18"/>
      <c r="F8" s="18"/>
      <c r="G8" s="18"/>
      <c r="H8" s="18"/>
      <c r="I8" s="18"/>
      <c r="J8" s="18"/>
      <c r="K8" s="19"/>
      <c r="L8" s="18"/>
      <c r="M8" s="19"/>
      <c r="N8" s="18"/>
      <c r="O8" s="19"/>
      <c r="P8" s="19"/>
    </row>
    <row r="9" spans="1:16" x14ac:dyDescent="0.25">
      <c r="A9" s="937">
        <v>5100</v>
      </c>
      <c r="B9" s="297" t="s">
        <v>674</v>
      </c>
      <c r="C9" s="406">
        <v>2000</v>
      </c>
      <c r="D9" s="126">
        <v>2000</v>
      </c>
      <c r="E9" s="126">
        <v>1885.16</v>
      </c>
      <c r="F9" s="126">
        <v>2000</v>
      </c>
      <c r="G9" s="126">
        <v>663.52</v>
      </c>
      <c r="H9" s="126">
        <v>1807.62</v>
      </c>
      <c r="I9" s="126">
        <v>2000</v>
      </c>
      <c r="J9" s="126">
        <v>2100</v>
      </c>
      <c r="K9" s="124">
        <v>2100</v>
      </c>
      <c r="L9" s="126">
        <v>2100</v>
      </c>
      <c r="M9" s="124">
        <v>2100</v>
      </c>
      <c r="N9" s="126"/>
      <c r="O9" s="124">
        <v>2100</v>
      </c>
      <c r="P9" s="124"/>
    </row>
    <row r="10" spans="1:16" ht="13.8" thickBot="1" x14ac:dyDescent="0.3">
      <c r="A10" s="908">
        <v>5124</v>
      </c>
      <c r="B10" s="110" t="s">
        <v>1614</v>
      </c>
      <c r="C10" s="131"/>
      <c r="D10" s="15"/>
      <c r="E10" s="15"/>
      <c r="F10" s="15"/>
      <c r="G10" s="15"/>
      <c r="H10" s="15"/>
      <c r="I10" s="318"/>
      <c r="J10" s="318"/>
      <c r="K10" s="123"/>
      <c r="L10" s="318">
        <v>799.89</v>
      </c>
      <c r="M10" s="123"/>
      <c r="N10" s="15"/>
      <c r="O10" s="123"/>
      <c r="P10" s="123"/>
    </row>
    <row r="11" spans="1:16" x14ac:dyDescent="0.25">
      <c r="A11" s="908"/>
      <c r="B11" s="207" t="s">
        <v>675</v>
      </c>
      <c r="C11" s="132">
        <f>SUM(C9:C10)</f>
        <v>2000</v>
      </c>
      <c r="D11" s="18">
        <f>SUM(D9)</f>
        <v>2000</v>
      </c>
      <c r="E11" s="18">
        <f>SUM(E9)</f>
        <v>1885.16</v>
      </c>
      <c r="F11" s="18">
        <f>SUM(F9:F10)</f>
        <v>2000</v>
      </c>
      <c r="G11" s="18">
        <f>SUM(G9:G10)</f>
        <v>663.52</v>
      </c>
      <c r="H11" s="18">
        <f>SUM(H9:H10)</f>
        <v>1807.62</v>
      </c>
      <c r="I11" s="126">
        <f>SUM(I9)</f>
        <v>2000</v>
      </c>
      <c r="J11" s="126">
        <f>SUM(J9)</f>
        <v>2100</v>
      </c>
      <c r="K11" s="124">
        <f>SUM(K9)</f>
        <v>2100</v>
      </c>
      <c r="L11" s="126">
        <f>SUM(L9:L10)</f>
        <v>2899.89</v>
      </c>
      <c r="M11" s="124">
        <f t="shared" ref="M11" si="0">SUM(M9)</f>
        <v>2100</v>
      </c>
      <c r="N11" s="18">
        <f>SUM(N9:N10)</f>
        <v>0</v>
      </c>
      <c r="O11" s="124">
        <f>SUM(O9:O10)</f>
        <v>2100</v>
      </c>
      <c r="P11" s="124"/>
    </row>
    <row r="12" spans="1:16" x14ac:dyDescent="0.25">
      <c r="A12" s="908"/>
      <c r="B12" s="110"/>
      <c r="C12" s="132"/>
      <c r="D12" s="18"/>
      <c r="E12" s="18"/>
      <c r="F12" s="18"/>
      <c r="G12" s="18"/>
      <c r="H12" s="18"/>
      <c r="I12" s="126"/>
      <c r="J12" s="126"/>
      <c r="K12" s="124"/>
      <c r="L12" s="126"/>
      <c r="M12" s="124"/>
      <c r="N12" s="18"/>
      <c r="O12" s="124"/>
      <c r="P12" s="124"/>
    </row>
    <row r="13" spans="1:16" x14ac:dyDescent="0.25">
      <c r="A13" s="903">
        <v>5247</v>
      </c>
      <c r="B13" s="236" t="s">
        <v>948</v>
      </c>
      <c r="C13" s="405">
        <v>14500</v>
      </c>
      <c r="D13" s="144">
        <v>15250</v>
      </c>
      <c r="E13" s="144">
        <v>16000</v>
      </c>
      <c r="F13" s="144">
        <v>25000</v>
      </c>
      <c r="G13" s="144">
        <v>28000</v>
      </c>
      <c r="H13" s="144">
        <v>34000</v>
      </c>
      <c r="I13" s="144">
        <v>36000</v>
      </c>
      <c r="J13" s="144">
        <v>45472.5</v>
      </c>
      <c r="K13" s="122">
        <f>9000+44000</f>
        <v>53000</v>
      </c>
      <c r="L13" s="144">
        <v>44525</v>
      </c>
      <c r="M13" s="122">
        <v>33000</v>
      </c>
      <c r="N13" s="144">
        <v>16550</v>
      </c>
      <c r="O13" s="122">
        <v>33100</v>
      </c>
      <c r="P13" s="122"/>
    </row>
    <row r="14" spans="1:16" x14ac:dyDescent="0.25">
      <c r="A14" s="903">
        <v>5341</v>
      </c>
      <c r="B14" s="236" t="s">
        <v>670</v>
      </c>
      <c r="C14" s="702">
        <v>1333.75</v>
      </c>
      <c r="D14" s="233">
        <v>1245.3900000000001</v>
      </c>
      <c r="E14" s="233">
        <v>1072.8</v>
      </c>
      <c r="F14" s="233">
        <v>1136.7</v>
      </c>
      <c r="G14" s="233">
        <v>1481.98</v>
      </c>
      <c r="H14" s="233">
        <v>1651.23</v>
      </c>
      <c r="I14" s="233">
        <v>1882.24</v>
      </c>
      <c r="J14" s="233">
        <v>1962.74</v>
      </c>
      <c r="K14" s="125">
        <v>2000</v>
      </c>
      <c r="L14" s="233">
        <v>2605.94</v>
      </c>
      <c r="M14" s="125">
        <v>10000</v>
      </c>
      <c r="N14" s="144">
        <v>1226.28</v>
      </c>
      <c r="O14" s="125">
        <v>3000</v>
      </c>
      <c r="P14" s="125"/>
    </row>
    <row r="15" spans="1:16" x14ac:dyDescent="0.25">
      <c r="A15" s="903">
        <v>5346</v>
      </c>
      <c r="B15" s="236" t="s">
        <v>1136</v>
      </c>
      <c r="C15" s="405"/>
      <c r="D15" s="144"/>
      <c r="E15" s="144"/>
      <c r="F15" s="144"/>
      <c r="G15" s="144"/>
      <c r="H15" s="144">
        <v>1082.3800000000001</v>
      </c>
      <c r="I15" s="144"/>
      <c r="J15" s="144">
        <v>875</v>
      </c>
      <c r="K15" s="122">
        <v>1100</v>
      </c>
      <c r="L15" s="144">
        <v>706.8</v>
      </c>
      <c r="M15" s="122">
        <v>0</v>
      </c>
      <c r="N15" s="144"/>
      <c r="O15" s="122"/>
      <c r="P15" s="122"/>
    </row>
    <row r="16" spans="1:16" x14ac:dyDescent="0.25">
      <c r="A16" s="903">
        <v>5347</v>
      </c>
      <c r="B16" s="236" t="s">
        <v>619</v>
      </c>
      <c r="C16" s="405">
        <v>125</v>
      </c>
      <c r="D16" s="144">
        <v>275</v>
      </c>
      <c r="E16" s="144">
        <v>125</v>
      </c>
      <c r="F16" s="144">
        <v>304.99</v>
      </c>
      <c r="G16" s="144">
        <v>125</v>
      </c>
      <c r="H16" s="144">
        <v>400</v>
      </c>
      <c r="I16" s="144">
        <v>400</v>
      </c>
      <c r="J16" s="144">
        <v>400</v>
      </c>
      <c r="K16" s="122">
        <v>400</v>
      </c>
      <c r="L16" s="144">
        <v>400</v>
      </c>
      <c r="M16" s="122">
        <v>400</v>
      </c>
      <c r="N16" s="144"/>
      <c r="O16" s="122">
        <v>400</v>
      </c>
      <c r="P16" s="122"/>
    </row>
    <row r="17" spans="1:19" x14ac:dyDescent="0.25">
      <c r="A17" s="903">
        <v>5348</v>
      </c>
      <c r="B17" s="236" t="s">
        <v>1087</v>
      </c>
      <c r="C17" s="405">
        <v>2950</v>
      </c>
      <c r="D17" s="144">
        <v>2950</v>
      </c>
      <c r="E17" s="144">
        <v>3050</v>
      </c>
      <c r="F17" s="144">
        <v>3050</v>
      </c>
      <c r="G17" s="144">
        <v>3050</v>
      </c>
      <c r="H17" s="144">
        <v>1870.84</v>
      </c>
      <c r="I17" s="144">
        <v>600</v>
      </c>
      <c r="J17" s="144">
        <v>675</v>
      </c>
      <c r="K17" s="122">
        <v>600</v>
      </c>
      <c r="L17" s="144">
        <v>720</v>
      </c>
      <c r="M17" s="122">
        <v>800</v>
      </c>
      <c r="N17" s="144">
        <v>780</v>
      </c>
      <c r="O17" s="122">
        <v>800</v>
      </c>
      <c r="P17" s="122"/>
    </row>
    <row r="18" spans="1:19" x14ac:dyDescent="0.25">
      <c r="A18" s="903">
        <v>5349</v>
      </c>
      <c r="B18" s="236" t="s">
        <v>22</v>
      </c>
      <c r="C18" s="405">
        <v>161.97999999999999</v>
      </c>
      <c r="D18" s="144">
        <v>0</v>
      </c>
      <c r="E18" s="144">
        <v>179.98</v>
      </c>
      <c r="F18" s="144"/>
      <c r="G18" s="144"/>
      <c r="H18" s="144">
        <v>299.98</v>
      </c>
      <c r="I18" s="144">
        <v>0</v>
      </c>
      <c r="J18" s="144">
        <v>399.98</v>
      </c>
      <c r="K18" s="122">
        <v>400</v>
      </c>
      <c r="L18" s="144"/>
      <c r="M18" s="122">
        <v>400</v>
      </c>
      <c r="N18" s="144">
        <v>499.98</v>
      </c>
      <c r="O18" s="122">
        <v>400</v>
      </c>
      <c r="P18" s="122"/>
    </row>
    <row r="19" spans="1:19" x14ac:dyDescent="0.25">
      <c r="A19" s="903">
        <v>5350</v>
      </c>
      <c r="B19" s="418" t="s">
        <v>1704</v>
      </c>
      <c r="C19" s="405"/>
      <c r="D19" s="144"/>
      <c r="E19" s="144"/>
      <c r="F19" s="144"/>
      <c r="G19" s="144"/>
      <c r="H19" s="144"/>
      <c r="I19" s="144"/>
      <c r="J19" s="144"/>
      <c r="K19" s="122"/>
      <c r="L19" s="144"/>
      <c r="M19" s="122">
        <v>3000</v>
      </c>
      <c r="N19" s="144"/>
      <c r="O19" s="122">
        <v>1500</v>
      </c>
      <c r="P19" s="122"/>
    </row>
    <row r="20" spans="1:19" x14ac:dyDescent="0.25">
      <c r="A20" s="903">
        <v>5351</v>
      </c>
      <c r="B20" s="418" t="s">
        <v>1703</v>
      </c>
      <c r="C20" s="405"/>
      <c r="D20" s="144"/>
      <c r="E20" s="144"/>
      <c r="F20" s="144"/>
      <c r="G20" s="144"/>
      <c r="H20" s="144"/>
      <c r="I20" s="144"/>
      <c r="J20" s="144"/>
      <c r="K20" s="122"/>
      <c r="L20" s="144"/>
      <c r="M20" s="122">
        <v>8500</v>
      </c>
      <c r="N20" s="144">
        <v>8410</v>
      </c>
      <c r="O20" s="122">
        <v>9700</v>
      </c>
      <c r="P20" s="122"/>
    </row>
    <row r="21" spans="1:19" x14ac:dyDescent="0.25">
      <c r="A21" s="903">
        <v>5580</v>
      </c>
      <c r="B21" s="418" t="s">
        <v>1031</v>
      </c>
      <c r="C21" s="144"/>
      <c r="D21" s="144"/>
      <c r="E21" s="144"/>
      <c r="F21" s="144"/>
      <c r="G21" s="144">
        <v>493.79</v>
      </c>
      <c r="H21" s="144">
        <v>2237.65</v>
      </c>
      <c r="I21" s="144">
        <v>5441.36</v>
      </c>
      <c r="J21" s="144">
        <v>4117.0200000000004</v>
      </c>
      <c r="K21" s="122">
        <f>3000+4000</f>
        <v>7000</v>
      </c>
      <c r="L21" s="144">
        <v>9641</v>
      </c>
      <c r="M21" s="122">
        <v>6500</v>
      </c>
      <c r="N21" s="144">
        <v>2840</v>
      </c>
      <c r="O21" s="122">
        <v>8000</v>
      </c>
      <c r="P21" s="122"/>
    </row>
    <row r="22" spans="1:19" x14ac:dyDescent="0.25">
      <c r="A22" s="903"/>
      <c r="B22" s="418" t="s">
        <v>1615</v>
      </c>
      <c r="C22" s="144"/>
      <c r="D22" s="144"/>
      <c r="E22" s="144"/>
      <c r="F22" s="144"/>
      <c r="G22" s="144"/>
      <c r="H22" s="144"/>
      <c r="I22" s="144"/>
      <c r="J22" s="144"/>
      <c r="K22" s="122"/>
      <c r="L22" s="144">
        <v>3442.5</v>
      </c>
      <c r="M22" s="122"/>
      <c r="N22" s="144"/>
      <c r="O22" s="122"/>
      <c r="P22" s="122"/>
    </row>
    <row r="23" spans="1:19" ht="13.8" thickBot="1" x14ac:dyDescent="0.3">
      <c r="A23" s="908">
        <v>5590</v>
      </c>
      <c r="B23" s="26" t="s">
        <v>1329</v>
      </c>
      <c r="C23" s="39"/>
      <c r="D23" s="39"/>
      <c r="E23" s="39"/>
      <c r="F23" s="39"/>
      <c r="G23" s="39"/>
      <c r="H23" s="39"/>
      <c r="I23" s="39"/>
      <c r="J23" s="39"/>
      <c r="K23" s="147">
        <v>7500</v>
      </c>
      <c r="L23" s="319">
        <v>6339</v>
      </c>
      <c r="M23" s="147">
        <v>33100</v>
      </c>
      <c r="N23" s="39"/>
      <c r="O23" s="147">
        <v>20000</v>
      </c>
      <c r="P23" s="147"/>
    </row>
    <row r="24" spans="1:19" x14ac:dyDescent="0.25">
      <c r="A24" s="881"/>
      <c r="B24" s="17" t="s">
        <v>449</v>
      </c>
      <c r="C24" s="37">
        <f t="shared" ref="C24:P24" si="1">SUM(C13:C23)</f>
        <v>19070.73</v>
      </c>
      <c r="D24" s="37">
        <f t="shared" si="1"/>
        <v>19720.39</v>
      </c>
      <c r="E24" s="37">
        <f t="shared" si="1"/>
        <v>20427.78</v>
      </c>
      <c r="F24" s="37">
        <f t="shared" si="1"/>
        <v>29491.690000000002</v>
      </c>
      <c r="G24" s="37">
        <f t="shared" si="1"/>
        <v>33150.769999999997</v>
      </c>
      <c r="H24" s="37">
        <f t="shared" si="1"/>
        <v>41542.080000000002</v>
      </c>
      <c r="I24" s="37">
        <f t="shared" si="1"/>
        <v>44323.6</v>
      </c>
      <c r="J24" s="37">
        <f t="shared" si="1"/>
        <v>53902.240000000005</v>
      </c>
      <c r="K24" s="38">
        <f t="shared" si="1"/>
        <v>72000</v>
      </c>
      <c r="L24" s="37">
        <f t="shared" si="1"/>
        <v>68380.240000000005</v>
      </c>
      <c r="M24" s="38">
        <f t="shared" si="1"/>
        <v>95700</v>
      </c>
      <c r="N24" s="37">
        <f t="shared" si="1"/>
        <v>30306.26</v>
      </c>
      <c r="O24" s="38">
        <f t="shared" si="1"/>
        <v>76900</v>
      </c>
      <c r="P24" s="125">
        <f t="shared" si="1"/>
        <v>0</v>
      </c>
      <c r="R24" s="968"/>
      <c r="S24" s="968"/>
    </row>
    <row r="25" spans="1:19" x14ac:dyDescent="0.25">
      <c r="A25" s="881"/>
      <c r="B25" s="17"/>
      <c r="C25" s="37"/>
      <c r="D25" s="37"/>
      <c r="E25" s="37"/>
      <c r="F25" s="37"/>
      <c r="G25" s="37"/>
      <c r="H25" s="37"/>
      <c r="I25" s="37"/>
      <c r="J25" s="37"/>
      <c r="K25" s="38"/>
      <c r="L25" s="37"/>
      <c r="M25" s="38"/>
      <c r="N25" s="37"/>
      <c r="O25" s="38"/>
      <c r="P25" s="125"/>
    </row>
    <row r="26" spans="1:19" ht="13.8" thickBot="1" x14ac:dyDescent="0.3">
      <c r="A26" s="882"/>
      <c r="B26" s="20" t="s">
        <v>137</v>
      </c>
      <c r="C26" s="21">
        <f t="shared" ref="C26:O26" si="2">+C24+C11</f>
        <v>21070.73</v>
      </c>
      <c r="D26" s="21">
        <f t="shared" si="2"/>
        <v>21720.39</v>
      </c>
      <c r="E26" s="21">
        <f t="shared" si="2"/>
        <v>22312.94</v>
      </c>
      <c r="F26" s="21">
        <f t="shared" si="2"/>
        <v>31491.690000000002</v>
      </c>
      <c r="G26" s="21">
        <f t="shared" si="2"/>
        <v>33814.289999999994</v>
      </c>
      <c r="H26" s="21">
        <f t="shared" si="2"/>
        <v>43349.700000000004</v>
      </c>
      <c r="I26" s="21">
        <f t="shared" si="2"/>
        <v>46323.6</v>
      </c>
      <c r="J26" s="21">
        <f t="shared" si="2"/>
        <v>56002.240000000005</v>
      </c>
      <c r="K26" s="41">
        <f t="shared" si="2"/>
        <v>74100</v>
      </c>
      <c r="L26" s="21">
        <f t="shared" si="2"/>
        <v>71280.13</v>
      </c>
      <c r="M26" s="41">
        <f t="shared" si="2"/>
        <v>97800</v>
      </c>
      <c r="N26" s="21">
        <f t="shared" si="2"/>
        <v>30306.26</v>
      </c>
      <c r="O26" s="41">
        <f t="shared" si="2"/>
        <v>79000</v>
      </c>
      <c r="P26" s="339">
        <f>+O26</f>
        <v>79000</v>
      </c>
      <c r="R26" s="240"/>
    </row>
    <row r="27" spans="1:19" ht="13.8" thickTop="1" x14ac:dyDescent="0.25">
      <c r="A27" s="876"/>
      <c r="B27" s="4"/>
      <c r="C27" s="23"/>
      <c r="D27" s="23"/>
      <c r="E27" s="23"/>
      <c r="F27" s="23"/>
      <c r="G27" s="23"/>
      <c r="H27" s="23"/>
      <c r="I27" s="23"/>
      <c r="J27" s="23"/>
      <c r="K27" s="23"/>
      <c r="L27" s="23"/>
      <c r="M27" s="23"/>
      <c r="N27" s="4"/>
      <c r="O27" s="23"/>
      <c r="P27" s="77"/>
    </row>
    <row r="28" spans="1:19" x14ac:dyDescent="0.25">
      <c r="A28" s="903" t="s">
        <v>1708</v>
      </c>
      <c r="B28" s="746" t="s">
        <v>1709</v>
      </c>
      <c r="C28" s="23"/>
      <c r="D28" s="23"/>
      <c r="E28" s="23"/>
      <c r="F28" s="23"/>
      <c r="G28" s="23"/>
      <c r="H28" s="23"/>
      <c r="I28" s="23"/>
      <c r="J28" s="23"/>
      <c r="K28" s="23"/>
      <c r="L28" s="23"/>
      <c r="M28" s="23"/>
      <c r="N28" s="4"/>
      <c r="O28" s="23"/>
      <c r="P28" s="23"/>
    </row>
    <row r="29" spans="1:19" x14ac:dyDescent="0.25">
      <c r="A29" s="909"/>
      <c r="B29" s="148"/>
      <c r="C29" s="23"/>
      <c r="D29" s="23"/>
      <c r="E29" s="23"/>
      <c r="F29" s="23"/>
      <c r="G29" s="23"/>
      <c r="H29" s="23"/>
      <c r="I29" s="23"/>
      <c r="J29" s="23"/>
      <c r="K29" s="23"/>
      <c r="L29" s="23"/>
      <c r="M29" s="23"/>
      <c r="N29" s="4"/>
      <c r="O29" s="23"/>
      <c r="P29" s="23"/>
    </row>
    <row r="30" spans="1:19" x14ac:dyDescent="0.25">
      <c r="A30" s="909"/>
      <c r="B30" s="148"/>
      <c r="C30" s="23"/>
      <c r="D30" s="23"/>
      <c r="E30" s="23"/>
      <c r="F30" s="23"/>
      <c r="G30" s="23"/>
      <c r="H30" s="23"/>
      <c r="I30" s="23"/>
      <c r="J30" s="23"/>
      <c r="K30" s="23"/>
      <c r="L30" s="23"/>
      <c r="M30" s="23"/>
      <c r="N30" s="4"/>
      <c r="O30" s="23"/>
      <c r="P30" s="23"/>
    </row>
    <row r="31" spans="1:19" x14ac:dyDescent="0.25">
      <c r="A31" s="909"/>
      <c r="B31" s="148"/>
      <c r="C31" s="23"/>
      <c r="D31" s="23"/>
      <c r="E31" s="23"/>
      <c r="F31" s="23"/>
      <c r="G31" s="23"/>
      <c r="H31" s="23"/>
      <c r="I31" s="23"/>
      <c r="J31" s="23"/>
      <c r="K31" s="23"/>
      <c r="L31" s="23"/>
      <c r="M31" s="23"/>
      <c r="N31" s="4"/>
      <c r="O31" s="23"/>
      <c r="P31" s="23"/>
    </row>
    <row r="32" spans="1:19" x14ac:dyDescent="0.25">
      <c r="A32" s="909"/>
      <c r="C32" s="23"/>
      <c r="D32" s="23"/>
      <c r="E32" s="23"/>
      <c r="F32" s="23"/>
      <c r="G32" s="23"/>
      <c r="H32" s="23"/>
      <c r="I32" s="23"/>
      <c r="J32" s="23"/>
      <c r="K32" s="23"/>
      <c r="L32" s="23"/>
      <c r="M32" s="23"/>
      <c r="N32" s="4"/>
      <c r="O32" s="23"/>
      <c r="P32" s="23"/>
    </row>
    <row r="33" spans="1:16" x14ac:dyDescent="0.25">
      <c r="A33" s="909"/>
      <c r="C33" s="23"/>
      <c r="D33" s="23"/>
      <c r="E33" s="23"/>
      <c r="F33" s="23"/>
      <c r="G33" s="23"/>
      <c r="H33" s="23"/>
      <c r="I33" s="23"/>
      <c r="J33" s="23"/>
      <c r="K33" s="23"/>
      <c r="L33" s="23"/>
      <c r="M33" s="23"/>
      <c r="N33" s="4"/>
      <c r="O33" s="23"/>
      <c r="P33" s="23"/>
    </row>
    <row r="34" spans="1:16" x14ac:dyDescent="0.25">
      <c r="A34" s="909"/>
      <c r="C34" s="23"/>
      <c r="D34" s="23"/>
      <c r="E34" s="23"/>
      <c r="F34" s="23"/>
      <c r="G34" s="23"/>
      <c r="H34" s="23"/>
      <c r="I34" s="23"/>
      <c r="J34" s="23"/>
      <c r="K34" s="23"/>
      <c r="L34" s="23"/>
      <c r="M34" s="23"/>
      <c r="N34" s="4"/>
      <c r="O34" s="23"/>
      <c r="P34" s="23"/>
    </row>
    <row r="35" spans="1:16" ht="13.8" thickBot="1" x14ac:dyDescent="0.3">
      <c r="B35" s="148"/>
    </row>
    <row r="36" spans="1:16" ht="13.8" thickTop="1" x14ac:dyDescent="0.25">
      <c r="A36" s="893"/>
      <c r="B36" s="452"/>
      <c r="C36" s="453" t="s">
        <v>127</v>
      </c>
      <c r="D36" s="454" t="s">
        <v>127</v>
      </c>
      <c r="E36" s="454" t="s">
        <v>127</v>
      </c>
      <c r="K36" s="455" t="s">
        <v>547</v>
      </c>
      <c r="L36" s="456" t="s">
        <v>9</v>
      </c>
      <c r="M36" s="457" t="s">
        <v>1073</v>
      </c>
      <c r="N36" s="456" t="s">
        <v>686</v>
      </c>
      <c r="O36" s="458"/>
      <c r="P36" s="457"/>
    </row>
    <row r="37" spans="1:16" ht="13.8" thickBot="1" x14ac:dyDescent="0.3">
      <c r="A37" s="894" t="s">
        <v>128</v>
      </c>
      <c r="B37" s="459"/>
      <c r="C37" s="460" t="s">
        <v>347</v>
      </c>
      <c r="D37" s="460" t="s">
        <v>722</v>
      </c>
      <c r="E37" s="461" t="s">
        <v>737</v>
      </c>
      <c r="K37" s="462" t="s">
        <v>909</v>
      </c>
      <c r="L37" s="462" t="s">
        <v>910</v>
      </c>
      <c r="M37" s="461" t="s">
        <v>1075</v>
      </c>
      <c r="N37" s="463" t="s">
        <v>1075</v>
      </c>
      <c r="O37" s="464" t="s">
        <v>1074</v>
      </c>
      <c r="P37" s="462"/>
    </row>
    <row r="38" spans="1:16" ht="13.8" thickTop="1" x14ac:dyDescent="0.25">
      <c r="A38" s="910"/>
      <c r="B38" s="480"/>
      <c r="C38" s="468"/>
      <c r="D38" s="468"/>
      <c r="E38" s="468"/>
      <c r="K38" s="469"/>
      <c r="L38" s="496"/>
      <c r="M38" s="471"/>
      <c r="N38" s="477"/>
      <c r="O38" s="470"/>
      <c r="P38" s="471"/>
    </row>
    <row r="39" spans="1:16" x14ac:dyDescent="0.25">
      <c r="A39" s="910">
        <v>5100</v>
      </c>
      <c r="B39" s="480" t="s">
        <v>674</v>
      </c>
      <c r="C39" s="468">
        <v>2000</v>
      </c>
      <c r="D39" s="468">
        <v>2000</v>
      </c>
      <c r="E39" s="468">
        <v>1885.16</v>
      </c>
      <c r="K39" s="469">
        <f>+M9</f>
        <v>2100</v>
      </c>
      <c r="L39" s="496">
        <f>+O9</f>
        <v>2100</v>
      </c>
      <c r="M39" s="471">
        <f t="shared" ref="M39:M49" si="3">+L39-K39</f>
        <v>0</v>
      </c>
      <c r="N39" s="477" t="str">
        <f t="shared" ref="N39:N49" si="4">IF(K39+L39&lt;&gt;0,IF(K39&lt;&gt;0,IF(M39&lt;&gt;0,ROUND((+M39/K39),4),""),1),"")</f>
        <v/>
      </c>
      <c r="O39" s="470"/>
      <c r="P39" s="471"/>
    </row>
    <row r="40" spans="1:16" x14ac:dyDescent="0.25">
      <c r="A40" s="907">
        <v>5247</v>
      </c>
      <c r="B40" s="472" t="s">
        <v>948</v>
      </c>
      <c r="C40" s="476">
        <v>14500</v>
      </c>
      <c r="D40" s="476">
        <v>15250</v>
      </c>
      <c r="E40" s="476">
        <v>16000</v>
      </c>
      <c r="K40" s="475">
        <f t="shared" ref="K40:K47" si="5">+M13</f>
        <v>33000</v>
      </c>
      <c r="L40" s="496">
        <f t="shared" ref="L40:L47" si="6">+O13</f>
        <v>33100</v>
      </c>
      <c r="M40" s="471">
        <f t="shared" si="3"/>
        <v>100</v>
      </c>
      <c r="N40" s="477">
        <f t="shared" si="4"/>
        <v>3.0000000000000001E-3</v>
      </c>
      <c r="O40" s="470" t="s">
        <v>1656</v>
      </c>
      <c r="P40" s="471"/>
    </row>
    <row r="41" spans="1:16" x14ac:dyDescent="0.25">
      <c r="A41" s="907">
        <v>5341</v>
      </c>
      <c r="B41" s="472" t="s">
        <v>670</v>
      </c>
      <c r="C41" s="478">
        <v>1333.75</v>
      </c>
      <c r="D41" s="478">
        <v>1245.3900000000001</v>
      </c>
      <c r="E41" s="478">
        <v>1072.8</v>
      </c>
      <c r="K41" s="475">
        <f t="shared" si="5"/>
        <v>10000</v>
      </c>
      <c r="L41" s="496">
        <f t="shared" si="6"/>
        <v>3000</v>
      </c>
      <c r="M41" s="471">
        <f t="shared" si="3"/>
        <v>-7000</v>
      </c>
      <c r="N41" s="477">
        <f t="shared" si="4"/>
        <v>-0.7</v>
      </c>
      <c r="O41" s="470" t="s">
        <v>1707</v>
      </c>
      <c r="P41" s="471"/>
    </row>
    <row r="42" spans="1:16" x14ac:dyDescent="0.25">
      <c r="A42" s="907">
        <v>5346</v>
      </c>
      <c r="B42" s="472" t="s">
        <v>1051</v>
      </c>
      <c r="C42" s="476"/>
      <c r="D42" s="476"/>
      <c r="E42" s="476"/>
      <c r="K42" s="475">
        <f t="shared" si="5"/>
        <v>0</v>
      </c>
      <c r="L42" s="496">
        <f t="shared" si="6"/>
        <v>0</v>
      </c>
      <c r="M42" s="471">
        <f t="shared" si="3"/>
        <v>0</v>
      </c>
      <c r="N42" s="477" t="str">
        <f t="shared" si="4"/>
        <v/>
      </c>
      <c r="O42" s="470"/>
      <c r="P42" s="471"/>
    </row>
    <row r="43" spans="1:16" x14ac:dyDescent="0.25">
      <c r="A43" s="907">
        <v>5347</v>
      </c>
      <c r="B43" s="472" t="s">
        <v>619</v>
      </c>
      <c r="C43" s="476">
        <v>125</v>
      </c>
      <c r="D43" s="476">
        <v>275</v>
      </c>
      <c r="E43" s="476">
        <v>125</v>
      </c>
      <c r="K43" s="475">
        <f t="shared" si="5"/>
        <v>400</v>
      </c>
      <c r="L43" s="496">
        <f t="shared" si="6"/>
        <v>400</v>
      </c>
      <c r="M43" s="471">
        <f t="shared" si="3"/>
        <v>0</v>
      </c>
      <c r="N43" s="477" t="str">
        <f t="shared" si="4"/>
        <v/>
      </c>
      <c r="O43" s="470"/>
      <c r="P43" s="471"/>
    </row>
    <row r="44" spans="1:16" x14ac:dyDescent="0.25">
      <c r="A44" s="907">
        <v>5348</v>
      </c>
      <c r="B44" s="472" t="s">
        <v>617</v>
      </c>
      <c r="C44" s="476">
        <v>2950</v>
      </c>
      <c r="D44" s="476">
        <v>2950</v>
      </c>
      <c r="E44" s="476">
        <v>3050</v>
      </c>
      <c r="K44" s="475">
        <f t="shared" si="5"/>
        <v>800</v>
      </c>
      <c r="L44" s="496">
        <f t="shared" si="6"/>
        <v>800</v>
      </c>
      <c r="M44" s="471">
        <f t="shared" si="3"/>
        <v>0</v>
      </c>
      <c r="N44" s="477" t="str">
        <f t="shared" si="4"/>
        <v/>
      </c>
      <c r="O44" s="470"/>
      <c r="P44" s="471"/>
    </row>
    <row r="45" spans="1:16" x14ac:dyDescent="0.25">
      <c r="A45" s="907">
        <v>5349</v>
      </c>
      <c r="B45" s="472" t="s">
        <v>22</v>
      </c>
      <c r="C45" s="476">
        <v>161.97999999999999</v>
      </c>
      <c r="D45" s="476">
        <v>0</v>
      </c>
      <c r="E45" s="476">
        <v>179.98</v>
      </c>
      <c r="K45" s="475">
        <f t="shared" si="5"/>
        <v>400</v>
      </c>
      <c r="L45" s="496">
        <f t="shared" si="6"/>
        <v>400</v>
      </c>
      <c r="M45" s="471">
        <f t="shared" si="3"/>
        <v>0</v>
      </c>
      <c r="N45" s="477" t="str">
        <f t="shared" si="4"/>
        <v/>
      </c>
      <c r="O45" s="470"/>
      <c r="P45" s="471"/>
    </row>
    <row r="46" spans="1:16" x14ac:dyDescent="0.25">
      <c r="A46" s="907">
        <v>5350</v>
      </c>
      <c r="B46" s="486" t="s">
        <v>1704</v>
      </c>
      <c r="C46" s="476">
        <v>161.97999999999999</v>
      </c>
      <c r="D46" s="476">
        <v>0</v>
      </c>
      <c r="E46" s="476">
        <v>179.98</v>
      </c>
      <c r="K46" s="475">
        <f t="shared" si="5"/>
        <v>3000</v>
      </c>
      <c r="L46" s="496">
        <f t="shared" si="6"/>
        <v>1500</v>
      </c>
      <c r="M46" s="471">
        <f t="shared" ref="M46" si="7">+L46-K46</f>
        <v>-1500</v>
      </c>
      <c r="N46" s="477">
        <f t="shared" si="4"/>
        <v>-0.5</v>
      </c>
      <c r="O46" s="470" t="s">
        <v>1707</v>
      </c>
      <c r="P46" s="471"/>
    </row>
    <row r="47" spans="1:16" x14ac:dyDescent="0.25">
      <c r="A47" s="907">
        <v>5351</v>
      </c>
      <c r="B47" s="486" t="s">
        <v>1705</v>
      </c>
      <c r="C47" s="476"/>
      <c r="D47" s="476"/>
      <c r="E47" s="476"/>
      <c r="K47" s="475">
        <f t="shared" si="5"/>
        <v>8500</v>
      </c>
      <c r="L47" s="496">
        <f t="shared" si="6"/>
        <v>9700</v>
      </c>
      <c r="M47" s="471">
        <f t="shared" ref="M47" si="8">+L47-K47</f>
        <v>1200</v>
      </c>
      <c r="N47" s="477">
        <f t="shared" ref="N47" si="9">IF(K47+L47&lt;&gt;0,IF(K47&lt;&gt;0,IF(M47&lt;&gt;0,ROUND((+M47/K47),4),""),1),"")</f>
        <v>0.14119999999999999</v>
      </c>
      <c r="O47" s="470" t="s">
        <v>1706</v>
      </c>
      <c r="P47" s="471"/>
    </row>
    <row r="48" spans="1:16" x14ac:dyDescent="0.25">
      <c r="A48" s="907">
        <v>5580</v>
      </c>
      <c r="B48" s="486" t="s">
        <v>1031</v>
      </c>
      <c r="C48" s="476"/>
      <c r="D48" s="476"/>
      <c r="E48" s="476"/>
      <c r="K48" s="475">
        <f t="shared" ref="K48" si="10">+M21</f>
        <v>6500</v>
      </c>
      <c r="L48" s="496">
        <f t="shared" ref="L48" si="11">+O21</f>
        <v>8000</v>
      </c>
      <c r="M48" s="471">
        <f t="shared" si="3"/>
        <v>1500</v>
      </c>
      <c r="N48" s="477">
        <f t="shared" si="4"/>
        <v>0.23080000000000001</v>
      </c>
      <c r="O48" s="470" t="s">
        <v>1657</v>
      </c>
      <c r="P48" s="471"/>
    </row>
    <row r="49" spans="1:16" x14ac:dyDescent="0.25">
      <c r="A49" s="907">
        <v>5590</v>
      </c>
      <c r="B49" s="486" t="s">
        <v>1001</v>
      </c>
      <c r="C49" s="476"/>
      <c r="D49" s="476"/>
      <c r="E49" s="476"/>
      <c r="K49" s="475">
        <f>+M23</f>
        <v>33100</v>
      </c>
      <c r="L49" s="496">
        <f>+O23</f>
        <v>20000</v>
      </c>
      <c r="M49" s="471">
        <f t="shared" si="3"/>
        <v>-13100</v>
      </c>
      <c r="N49" s="477">
        <f t="shared" si="4"/>
        <v>-0.39579999999999999</v>
      </c>
      <c r="O49" s="470" t="s">
        <v>1707</v>
      </c>
      <c r="P49" s="471"/>
    </row>
    <row r="50" spans="1:16" x14ac:dyDescent="0.25">
      <c r="A50" s="938"/>
      <c r="B50" s="492"/>
      <c r="C50" s="731"/>
      <c r="D50" s="731"/>
      <c r="E50" s="731"/>
      <c r="K50" s="732"/>
      <c r="L50" s="733"/>
      <c r="M50" s="732"/>
      <c r="N50" s="734"/>
      <c r="O50" s="732"/>
      <c r="P50" s="732"/>
    </row>
    <row r="51" spans="1:16" x14ac:dyDescent="0.25">
      <c r="B51" s="4" t="s">
        <v>1363</v>
      </c>
      <c r="C51" s="23"/>
      <c r="D51" s="23"/>
      <c r="E51" s="23"/>
      <c r="F51" s="23"/>
      <c r="G51" s="23"/>
      <c r="K51" s="742">
        <f>SUM(K38:K50)</f>
        <v>97800</v>
      </c>
      <c r="L51" s="742">
        <f>SUM(L38:L50)</f>
        <v>79000</v>
      </c>
      <c r="M51" s="202">
        <f>+L51-K51</f>
        <v>-18800</v>
      </c>
      <c r="N51" s="743">
        <f>IF(K51+L51&lt;&gt;0,IF(K51&lt;&gt;0,IF(M51&lt;&gt;0,ROUND((+M51/K51),4),""),1),"")</f>
        <v>-0.19220000000000001</v>
      </c>
    </row>
    <row r="52" spans="1:16" x14ac:dyDescent="0.25">
      <c r="A52" s="929" t="s">
        <v>1131</v>
      </c>
      <c r="K52" s="240" t="s">
        <v>1132</v>
      </c>
      <c r="L52" s="240" t="s">
        <v>1133</v>
      </c>
      <c r="M52" s="240" t="s">
        <v>1137</v>
      </c>
    </row>
    <row r="53" spans="1:16" x14ac:dyDescent="0.25">
      <c r="A53" s="885">
        <v>42755</v>
      </c>
      <c r="B53" s="492" t="s">
        <v>1135</v>
      </c>
      <c r="K53" s="171">
        <v>43850</v>
      </c>
      <c r="L53">
        <v>700</v>
      </c>
      <c r="M53" s="240" t="s">
        <v>907</v>
      </c>
    </row>
    <row r="54" spans="1:16" x14ac:dyDescent="0.25">
      <c r="A54" s="885">
        <v>42967</v>
      </c>
      <c r="B54" s="492" t="s">
        <v>1134</v>
      </c>
      <c r="K54" s="171">
        <v>44063</v>
      </c>
      <c r="L54">
        <v>1100</v>
      </c>
      <c r="M54" s="240" t="s">
        <v>908</v>
      </c>
    </row>
  </sheetData>
  <hyperlinks>
    <hyperlink ref="A1" location="'Working Budget with funding det'!A1" display="Main " xr:uid="{00000000-0004-0000-1200-000000000000}"/>
    <hyperlink ref="B1" location="'Table of Contents'!A1" display="TOC" xr:uid="{00000000-0004-0000-1200-000001000000}"/>
  </hyperlinks>
  <pageMargins left="0.7" right="0.7" top="0.75" bottom="0.75" header="0.3" footer="0.3"/>
  <pageSetup fitToHeight="0" orientation="landscape" r:id="rId1"/>
  <headerFooter>
    <oddFooter>&amp;L&amp;D &amp;T&amp;C&amp;F&amp;R&amp;A</oddFooter>
  </headerFooter>
  <rowBreaks count="1" manualBreakCount="1">
    <brk id="34" max="1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pageSetUpPr fitToPage="1"/>
  </sheetPr>
  <dimension ref="A1:T46"/>
  <sheetViews>
    <sheetView workbookViewId="0">
      <selection activeCell="P1" sqref="P1:P1048576"/>
    </sheetView>
  </sheetViews>
  <sheetFormatPr defaultRowHeight="13.2" x14ac:dyDescent="0.25"/>
  <cols>
    <col min="1" max="1" width="10.88671875" style="876" customWidth="1"/>
    <col min="2" max="2" width="37.77734375" style="4" customWidth="1"/>
    <col min="3" max="10" width="14.44140625" style="23" hidden="1" customWidth="1"/>
    <col min="11" max="13" width="14.44140625" style="23" customWidth="1"/>
    <col min="14" max="14" width="14.44140625" style="4" customWidth="1"/>
    <col min="15" max="17" width="14.44140625" style="23" customWidth="1"/>
    <col min="18" max="20" width="14.44140625" style="4" customWidth="1"/>
    <col min="21" max="21" width="14.6640625" customWidth="1"/>
  </cols>
  <sheetData>
    <row r="1" spans="1:17" x14ac:dyDescent="0.25">
      <c r="A1" s="874" t="s">
        <v>1021</v>
      </c>
      <c r="B1" s="371" t="s">
        <v>1348</v>
      </c>
      <c r="Q1" s="4"/>
    </row>
    <row r="2" spans="1:17" x14ac:dyDescent="0.25">
      <c r="A2" s="876" t="s">
        <v>259</v>
      </c>
      <c r="I2" s="23" t="s">
        <v>257</v>
      </c>
      <c r="N2" s="79" t="s">
        <v>537</v>
      </c>
      <c r="P2" s="78" t="s">
        <v>540</v>
      </c>
    </row>
    <row r="3" spans="1:17" ht="13.8" thickBot="1" x14ac:dyDescent="0.3">
      <c r="P3" s="4"/>
      <c r="Q3" s="4"/>
    </row>
    <row r="4" spans="1:17" ht="13.8" thickTop="1" x14ac:dyDescent="0.25">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t="s">
        <v>910</v>
      </c>
    </row>
    <row r="5" spans="1:17" x14ac:dyDescent="0.25">
      <c r="A5" s="878"/>
      <c r="B5" s="209"/>
      <c r="C5" s="127"/>
      <c r="D5" s="87"/>
      <c r="E5" s="113"/>
      <c r="F5" s="87"/>
      <c r="G5" s="87"/>
      <c r="H5" s="113"/>
      <c r="I5" s="290"/>
      <c r="J5" s="290"/>
      <c r="K5" s="290"/>
      <c r="L5" s="290"/>
      <c r="M5" s="290"/>
      <c r="N5" s="113" t="s">
        <v>515</v>
      </c>
      <c r="O5" s="88" t="s">
        <v>7</v>
      </c>
      <c r="P5" s="203" t="s">
        <v>782</v>
      </c>
    </row>
    <row r="6" spans="1:17" x14ac:dyDescent="0.25">
      <c r="A6" s="878"/>
      <c r="B6" s="209"/>
      <c r="C6" s="127"/>
      <c r="D6" s="127"/>
      <c r="E6" s="127"/>
      <c r="F6" s="127"/>
      <c r="G6" s="127"/>
      <c r="H6" s="127"/>
      <c r="I6" s="88"/>
      <c r="J6" s="88"/>
      <c r="K6" s="88"/>
      <c r="L6" s="88"/>
      <c r="M6" s="88"/>
      <c r="N6" s="127"/>
      <c r="O6" s="88" t="s">
        <v>8</v>
      </c>
      <c r="P6" s="47" t="s">
        <v>543</v>
      </c>
    </row>
    <row r="7" spans="1:17"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44561</v>
      </c>
      <c r="O7" s="9" t="s">
        <v>9</v>
      </c>
      <c r="P7" s="9" t="s">
        <v>546</v>
      </c>
    </row>
    <row r="8" spans="1:17" ht="13.8" thickTop="1" x14ac:dyDescent="0.25">
      <c r="A8" s="908"/>
      <c r="B8" s="210"/>
      <c r="C8" s="132"/>
      <c r="D8" s="18"/>
      <c r="E8" s="18"/>
      <c r="F8" s="18"/>
      <c r="G8" s="18"/>
      <c r="H8" s="18"/>
      <c r="I8" s="18"/>
      <c r="J8" s="18"/>
      <c r="K8" s="19"/>
      <c r="L8" s="19"/>
      <c r="M8" s="19"/>
      <c r="N8" s="18"/>
      <c r="O8" s="19"/>
      <c r="P8" s="19"/>
    </row>
    <row r="9" spans="1:17" x14ac:dyDescent="0.25">
      <c r="A9" s="881">
        <v>5249</v>
      </c>
      <c r="B9" s="63" t="s">
        <v>538</v>
      </c>
      <c r="C9" s="130">
        <v>4821.76</v>
      </c>
      <c r="D9" s="13">
        <v>3599.04</v>
      </c>
      <c r="E9" s="13">
        <v>4277.18</v>
      </c>
      <c r="F9" s="13">
        <v>3350.66</v>
      </c>
      <c r="G9" s="13">
        <v>3252.3</v>
      </c>
      <c r="H9" s="13">
        <v>3636.21</v>
      </c>
      <c r="I9" s="144">
        <v>3711.79</v>
      </c>
      <c r="J9" s="144">
        <v>3992.02</v>
      </c>
      <c r="K9" s="122">
        <v>4400</v>
      </c>
      <c r="L9" s="144">
        <v>3838.75</v>
      </c>
      <c r="M9" s="122">
        <v>4400</v>
      </c>
      <c r="N9" s="13">
        <v>1303.24</v>
      </c>
      <c r="O9" s="122">
        <v>4400</v>
      </c>
      <c r="P9" s="122"/>
    </row>
    <row r="10" spans="1:17" x14ac:dyDescent="0.25">
      <c r="A10" s="881">
        <v>5304</v>
      </c>
      <c r="B10" s="63" t="s">
        <v>1560</v>
      </c>
      <c r="C10" s="130">
        <v>30500</v>
      </c>
      <c r="D10" s="144">
        <v>28500</v>
      </c>
      <c r="E10" s="144">
        <v>28500</v>
      </c>
      <c r="F10" s="144">
        <v>28500</v>
      </c>
      <c r="G10" s="144">
        <v>26000</v>
      </c>
      <c r="H10" s="144">
        <v>26000</v>
      </c>
      <c r="I10" s="144">
        <v>27500</v>
      </c>
      <c r="J10" s="144">
        <v>28000</v>
      </c>
      <c r="K10" s="122">
        <v>31000</v>
      </c>
      <c r="L10" s="144">
        <v>28000</v>
      </c>
      <c r="M10" s="122">
        <v>34000</v>
      </c>
      <c r="N10" s="13">
        <v>23500</v>
      </c>
      <c r="O10" s="122">
        <v>34000</v>
      </c>
      <c r="P10" s="122"/>
    </row>
    <row r="11" spans="1:17" x14ac:dyDescent="0.25">
      <c r="A11" s="881">
        <v>5305</v>
      </c>
      <c r="B11" s="63" t="s">
        <v>692</v>
      </c>
      <c r="C11" s="130"/>
      <c r="D11" s="13">
        <v>0</v>
      </c>
      <c r="E11" s="13"/>
      <c r="F11" s="13"/>
      <c r="G11" s="13">
        <v>783.99</v>
      </c>
      <c r="H11" s="13">
        <v>467.88</v>
      </c>
      <c r="I11" s="144">
        <v>421.75</v>
      </c>
      <c r="J11" s="144"/>
      <c r="K11" s="122">
        <v>800</v>
      </c>
      <c r="L11" s="144"/>
      <c r="M11" s="122">
        <v>100</v>
      </c>
      <c r="N11" s="13"/>
      <c r="O11" s="122">
        <v>100</v>
      </c>
      <c r="P11" s="122"/>
    </row>
    <row r="12" spans="1:17" x14ac:dyDescent="0.25">
      <c r="A12" s="881">
        <v>5306</v>
      </c>
      <c r="B12" s="63" t="s">
        <v>1032</v>
      </c>
      <c r="C12" s="250"/>
      <c r="D12" s="37">
        <v>3250</v>
      </c>
      <c r="E12" s="37"/>
      <c r="F12" s="37"/>
      <c r="G12" s="37">
        <v>975</v>
      </c>
      <c r="H12" s="37">
        <v>3400</v>
      </c>
      <c r="I12" s="233">
        <v>3740</v>
      </c>
      <c r="J12" s="233">
        <v>3600</v>
      </c>
      <c r="K12" s="125">
        <v>3500</v>
      </c>
      <c r="L12" s="233">
        <v>1440</v>
      </c>
      <c r="M12" s="125">
        <v>3800</v>
      </c>
      <c r="N12" s="13">
        <v>3720</v>
      </c>
      <c r="O12" s="125">
        <v>3800</v>
      </c>
      <c r="P12" s="125"/>
    </row>
    <row r="13" spans="1:17" x14ac:dyDescent="0.25">
      <c r="A13" s="881">
        <v>5307</v>
      </c>
      <c r="B13" s="63" t="s">
        <v>684</v>
      </c>
      <c r="C13" s="250">
        <v>1500</v>
      </c>
      <c r="D13" s="37">
        <v>1500</v>
      </c>
      <c r="E13" s="37">
        <v>250</v>
      </c>
      <c r="F13" s="37">
        <v>1500</v>
      </c>
      <c r="G13" s="37">
        <v>1500</v>
      </c>
      <c r="H13" s="37">
        <v>1500</v>
      </c>
      <c r="I13" s="233">
        <v>500</v>
      </c>
      <c r="J13" s="233">
        <v>500</v>
      </c>
      <c r="K13" s="125">
        <v>2000</v>
      </c>
      <c r="L13" s="233">
        <v>2000</v>
      </c>
      <c r="M13" s="125">
        <v>2000</v>
      </c>
      <c r="N13" s="13"/>
      <c r="O13" s="125">
        <v>2000</v>
      </c>
      <c r="P13" s="125"/>
    </row>
    <row r="14" spans="1:17" x14ac:dyDescent="0.25">
      <c r="A14" s="881">
        <v>5310</v>
      </c>
      <c r="B14" s="63" t="s">
        <v>1252</v>
      </c>
      <c r="C14" s="250"/>
      <c r="D14" s="37"/>
      <c r="E14" s="37"/>
      <c r="F14" s="37"/>
      <c r="G14" s="37"/>
      <c r="H14" s="37">
        <v>16500</v>
      </c>
      <c r="I14" s="233">
        <v>16500</v>
      </c>
      <c r="J14" s="233">
        <v>1500</v>
      </c>
      <c r="K14" s="125">
        <v>6000</v>
      </c>
      <c r="L14" s="233">
        <v>6000</v>
      </c>
      <c r="M14" s="125">
        <v>6000</v>
      </c>
      <c r="N14" s="13">
        <v>6000</v>
      </c>
      <c r="O14" s="125">
        <v>6000</v>
      </c>
      <c r="P14" s="125"/>
    </row>
    <row r="15" spans="1:17" x14ac:dyDescent="0.25">
      <c r="A15" s="881">
        <v>5340</v>
      </c>
      <c r="B15" s="63" t="s">
        <v>54</v>
      </c>
      <c r="C15" s="130">
        <v>459</v>
      </c>
      <c r="D15" s="13">
        <v>0</v>
      </c>
      <c r="E15" s="13">
        <v>201.2</v>
      </c>
      <c r="F15" s="13"/>
      <c r="G15" s="13">
        <v>192.25</v>
      </c>
      <c r="H15" s="13">
        <v>10355.67</v>
      </c>
      <c r="I15" s="144">
        <v>10765.91</v>
      </c>
      <c r="J15" s="144">
        <v>11264.31</v>
      </c>
      <c r="K15" s="122">
        <v>15000</v>
      </c>
      <c r="L15" s="144">
        <v>13334.82</v>
      </c>
      <c r="M15" s="122">
        <v>15000</v>
      </c>
      <c r="N15" s="13">
        <v>6345.55</v>
      </c>
      <c r="O15" s="122">
        <v>15000</v>
      </c>
      <c r="P15" s="122"/>
    </row>
    <row r="16" spans="1:17" x14ac:dyDescent="0.25">
      <c r="A16" s="881">
        <v>5344</v>
      </c>
      <c r="B16" s="63" t="s">
        <v>153</v>
      </c>
      <c r="C16" s="132">
        <v>2250.5300000000002</v>
      </c>
      <c r="D16" s="18">
        <v>2192.2199999999998</v>
      </c>
      <c r="E16" s="18">
        <v>2291.04</v>
      </c>
      <c r="F16" s="18">
        <v>2358.7600000000002</v>
      </c>
      <c r="G16" s="18">
        <v>2834.65</v>
      </c>
      <c r="H16" s="18">
        <v>3092.19</v>
      </c>
      <c r="I16" s="126">
        <v>3798.65</v>
      </c>
      <c r="J16" s="126">
        <v>3979.96</v>
      </c>
      <c r="K16" s="124">
        <v>3900</v>
      </c>
      <c r="L16" s="126">
        <v>3890.3</v>
      </c>
      <c r="M16" s="124">
        <v>4000</v>
      </c>
      <c r="N16" s="18">
        <v>1608.48</v>
      </c>
      <c r="O16" s="124">
        <v>4500</v>
      </c>
      <c r="P16" s="124"/>
    </row>
    <row r="17" spans="1:16" x14ac:dyDescent="0.25">
      <c r="A17" s="903">
        <v>5350</v>
      </c>
      <c r="B17" s="303" t="s">
        <v>863</v>
      </c>
      <c r="C17" s="405"/>
      <c r="D17" s="144"/>
      <c r="E17" s="144">
        <v>6309</v>
      </c>
      <c r="F17" s="144">
        <v>6309</v>
      </c>
      <c r="G17" s="144">
        <v>6309</v>
      </c>
      <c r="H17" s="144">
        <v>6309</v>
      </c>
      <c r="I17" s="144">
        <v>12618</v>
      </c>
      <c r="J17" s="144">
        <v>6309</v>
      </c>
      <c r="K17" s="122">
        <v>6309</v>
      </c>
      <c r="L17" s="144">
        <v>3559</v>
      </c>
      <c r="M17" s="122">
        <f>250+6309</f>
        <v>6559</v>
      </c>
      <c r="N17" s="144"/>
      <c r="O17" s="122">
        <f>250+6309</f>
        <v>6559</v>
      </c>
      <c r="P17" s="293"/>
    </row>
    <row r="18" spans="1:16" x14ac:dyDescent="0.25">
      <c r="A18" s="881">
        <v>5420</v>
      </c>
      <c r="B18" s="63" t="s">
        <v>694</v>
      </c>
      <c r="C18" s="130">
        <v>1590.17</v>
      </c>
      <c r="D18" s="13">
        <f>737+737</f>
        <v>1474</v>
      </c>
      <c r="E18" s="13">
        <v>1474</v>
      </c>
      <c r="F18" s="13">
        <v>1556.76</v>
      </c>
      <c r="G18" s="13">
        <v>1474</v>
      </c>
      <c r="H18" s="13">
        <v>737</v>
      </c>
      <c r="I18" s="144">
        <v>1499</v>
      </c>
      <c r="J18" s="144">
        <v>308.12</v>
      </c>
      <c r="K18" s="122">
        <v>1600</v>
      </c>
      <c r="L18" s="144">
        <v>273.54000000000002</v>
      </c>
      <c r="M18" s="122">
        <v>1600</v>
      </c>
      <c r="N18" s="13">
        <v>123.9</v>
      </c>
      <c r="O18" s="122">
        <v>1600</v>
      </c>
      <c r="P18" s="122"/>
    </row>
    <row r="19" spans="1:16" x14ac:dyDescent="0.25">
      <c r="A19" s="881">
        <v>5580</v>
      </c>
      <c r="B19" s="12" t="s">
        <v>539</v>
      </c>
      <c r="C19" s="13">
        <v>175.91</v>
      </c>
      <c r="D19" s="13">
        <f>-737+765.3</f>
        <v>28.299999999999955</v>
      </c>
      <c r="E19" s="13">
        <v>85</v>
      </c>
      <c r="F19" s="13">
        <v>88.5</v>
      </c>
      <c r="G19" s="13"/>
      <c r="H19" s="13">
        <v>118.5</v>
      </c>
      <c r="I19" s="144"/>
      <c r="J19" s="144"/>
      <c r="K19" s="122">
        <v>250</v>
      </c>
      <c r="L19" s="144"/>
      <c r="M19" s="122">
        <v>120</v>
      </c>
      <c r="N19" s="13"/>
      <c r="O19" s="122">
        <v>120</v>
      </c>
      <c r="P19" s="122"/>
    </row>
    <row r="20" spans="1:16" ht="13.8" thickBot="1" x14ac:dyDescent="0.3">
      <c r="A20" s="881"/>
      <c r="B20" s="26"/>
      <c r="C20" s="39"/>
      <c r="D20" s="39"/>
      <c r="E20" s="39"/>
      <c r="F20" s="39"/>
      <c r="G20" s="39"/>
      <c r="H20" s="39"/>
      <c r="I20" s="39"/>
      <c r="J20" s="39"/>
      <c r="K20" s="147"/>
      <c r="L20" s="319"/>
      <c r="M20" s="147"/>
      <c r="N20" s="39"/>
      <c r="O20" s="147"/>
      <c r="P20" s="147"/>
    </row>
    <row r="21" spans="1:16" x14ac:dyDescent="0.25">
      <c r="A21" s="881"/>
      <c r="B21" s="17" t="s">
        <v>449</v>
      </c>
      <c r="C21" s="37">
        <f t="shared" ref="C21:N21" si="0">SUM(C9:C20)</f>
        <v>41297.370000000003</v>
      </c>
      <c r="D21" s="37">
        <f t="shared" si="0"/>
        <v>40543.560000000005</v>
      </c>
      <c r="E21" s="37">
        <f t="shared" si="0"/>
        <v>43387.42</v>
      </c>
      <c r="F21" s="37">
        <f>SUM(F9:F20)</f>
        <v>43663.680000000008</v>
      </c>
      <c r="G21" s="37">
        <f>SUM(G9:G20)</f>
        <v>43321.19</v>
      </c>
      <c r="H21" s="37">
        <f>SUM(H9:H20)</f>
        <v>72116.45</v>
      </c>
      <c r="I21" s="37">
        <f t="shared" si="0"/>
        <v>81055.099999999991</v>
      </c>
      <c r="J21" s="37">
        <f t="shared" ref="J21" si="1">SUM(J9:J20)</f>
        <v>59453.41</v>
      </c>
      <c r="K21" s="38">
        <f>SUM(K9:K20)</f>
        <v>74759</v>
      </c>
      <c r="L21" s="37">
        <f t="shared" ref="L21:M21" si="2">SUM(L9:L20)</f>
        <v>62336.41</v>
      </c>
      <c r="M21" s="38">
        <f t="shared" si="2"/>
        <v>77579</v>
      </c>
      <c r="N21" s="37">
        <f t="shared" si="0"/>
        <v>42601.170000000013</v>
      </c>
      <c r="O21" s="38">
        <f>SUM(O9:O20)</f>
        <v>78079</v>
      </c>
      <c r="P21" s="38"/>
    </row>
    <row r="22" spans="1:16" x14ac:dyDescent="0.25">
      <c r="A22" s="881"/>
      <c r="B22" s="17"/>
      <c r="C22" s="37"/>
      <c r="D22" s="37"/>
      <c r="E22" s="37"/>
      <c r="F22" s="37"/>
      <c r="G22" s="37"/>
      <c r="H22" s="37"/>
      <c r="I22" s="37"/>
      <c r="J22" s="37"/>
      <c r="K22" s="38"/>
      <c r="L22" s="37"/>
      <c r="M22" s="38"/>
      <c r="N22" s="37"/>
      <c r="O22" s="38"/>
      <c r="P22" s="38"/>
    </row>
    <row r="23" spans="1:16" ht="13.8" thickBot="1" x14ac:dyDescent="0.3">
      <c r="A23" s="882"/>
      <c r="B23" s="20" t="s">
        <v>137</v>
      </c>
      <c r="C23" s="21">
        <f t="shared" ref="C23:O23" si="3">+C21</f>
        <v>41297.370000000003</v>
      </c>
      <c r="D23" s="21">
        <f t="shared" si="3"/>
        <v>40543.560000000005</v>
      </c>
      <c r="E23" s="21">
        <f t="shared" si="3"/>
        <v>43387.42</v>
      </c>
      <c r="F23" s="21">
        <f>+F21</f>
        <v>43663.680000000008</v>
      </c>
      <c r="G23" s="21">
        <f>+G21</f>
        <v>43321.19</v>
      </c>
      <c r="H23" s="21">
        <f>+H21</f>
        <v>72116.45</v>
      </c>
      <c r="I23" s="21">
        <f t="shared" si="3"/>
        <v>81055.099999999991</v>
      </c>
      <c r="J23" s="21">
        <f t="shared" ref="J23" si="4">+J21</f>
        <v>59453.41</v>
      </c>
      <c r="K23" s="41">
        <f t="shared" ref="K23:M23" si="5">+K21</f>
        <v>74759</v>
      </c>
      <c r="L23" s="21">
        <f t="shared" si="5"/>
        <v>62336.41</v>
      </c>
      <c r="M23" s="41">
        <f t="shared" si="5"/>
        <v>77579</v>
      </c>
      <c r="N23" s="21">
        <f t="shared" si="3"/>
        <v>42601.170000000013</v>
      </c>
      <c r="O23" s="41">
        <f t="shared" si="3"/>
        <v>78079</v>
      </c>
      <c r="P23" s="41">
        <f>+O23</f>
        <v>78079</v>
      </c>
    </row>
    <row r="24" spans="1:16" ht="13.8" thickTop="1" x14ac:dyDescent="0.25">
      <c r="A24" s="57">
        <v>44209</v>
      </c>
      <c r="B24" s="4" t="s">
        <v>1487</v>
      </c>
      <c r="P24" s="77"/>
    </row>
    <row r="25" spans="1:16" ht="13.8" thickBot="1" x14ac:dyDescent="0.3"/>
    <row r="26" spans="1:16" ht="13.8" thickTop="1" x14ac:dyDescent="0.25">
      <c r="A26" s="893"/>
      <c r="B26" s="452"/>
      <c r="C26" s="453" t="s">
        <v>127</v>
      </c>
      <c r="D26" s="454" t="s">
        <v>127</v>
      </c>
      <c r="E26" s="454"/>
      <c r="K26" s="455" t="s">
        <v>547</v>
      </c>
      <c r="L26" s="456" t="s">
        <v>9</v>
      </c>
      <c r="M26" s="457" t="s">
        <v>1073</v>
      </c>
      <c r="N26" s="456" t="s">
        <v>686</v>
      </c>
      <c r="O26" s="458"/>
      <c r="P26" s="457"/>
    </row>
    <row r="27" spans="1:16" ht="13.8" thickBot="1" x14ac:dyDescent="0.3">
      <c r="A27" s="894" t="s">
        <v>128</v>
      </c>
      <c r="B27" s="459"/>
      <c r="C27" s="460" t="s">
        <v>347</v>
      </c>
      <c r="D27" s="460" t="s">
        <v>722</v>
      </c>
      <c r="E27" s="460"/>
      <c r="K27" s="462" t="s">
        <v>909</v>
      </c>
      <c r="L27" s="462" t="s">
        <v>910</v>
      </c>
      <c r="M27" s="461" t="s">
        <v>1075</v>
      </c>
      <c r="N27" s="463" t="s">
        <v>1075</v>
      </c>
      <c r="O27" s="464" t="s">
        <v>1074</v>
      </c>
      <c r="P27" s="462"/>
    </row>
    <row r="28" spans="1:16" ht="13.8" thickTop="1" x14ac:dyDescent="0.25">
      <c r="A28" s="910"/>
      <c r="B28" s="480"/>
      <c r="C28" s="468"/>
      <c r="D28" s="468"/>
      <c r="E28" s="468"/>
      <c r="K28" s="469"/>
      <c r="L28" s="468"/>
      <c r="M28" s="471"/>
      <c r="N28" s="477"/>
      <c r="O28" s="470"/>
      <c r="P28" s="471"/>
    </row>
    <row r="29" spans="1:16" x14ac:dyDescent="0.25">
      <c r="A29" s="907">
        <v>5249</v>
      </c>
      <c r="B29" s="472" t="s">
        <v>538</v>
      </c>
      <c r="C29" s="476">
        <v>4821.76</v>
      </c>
      <c r="D29" s="476">
        <v>3599.04</v>
      </c>
      <c r="E29" s="476"/>
      <c r="K29" s="475">
        <f t="shared" ref="K29:K39" si="6">+M9</f>
        <v>4400</v>
      </c>
      <c r="L29" s="497">
        <f t="shared" ref="L29:L39" si="7">+O9</f>
        <v>4400</v>
      </c>
      <c r="M29" s="471">
        <f t="shared" ref="M29:M39" si="8">+L29-K29</f>
        <v>0</v>
      </c>
      <c r="N29" s="477" t="str">
        <f t="shared" ref="N29:N39" si="9">IF(K29+L29&lt;&gt;0,IF(K29&lt;&gt;0,IF(M29&lt;&gt;0,ROUND((+M29/K29),4),""),1),"")</f>
        <v/>
      </c>
      <c r="O29" s="470"/>
      <c r="P29" s="471"/>
    </row>
    <row r="30" spans="1:16" x14ac:dyDescent="0.25">
      <c r="A30" s="907">
        <v>5304</v>
      </c>
      <c r="B30" s="472" t="s">
        <v>1058</v>
      </c>
      <c r="C30" s="476">
        <v>30500</v>
      </c>
      <c r="D30" s="476">
        <v>28500</v>
      </c>
      <c r="E30" s="476"/>
      <c r="K30" s="475">
        <f t="shared" si="6"/>
        <v>34000</v>
      </c>
      <c r="L30" s="497">
        <f t="shared" si="7"/>
        <v>34000</v>
      </c>
      <c r="M30" s="471">
        <f t="shared" si="8"/>
        <v>0</v>
      </c>
      <c r="N30" s="477" t="str">
        <f t="shared" si="9"/>
        <v/>
      </c>
      <c r="O30" s="470"/>
      <c r="P30" s="471"/>
    </row>
    <row r="31" spans="1:16" x14ac:dyDescent="0.25">
      <c r="A31" s="907">
        <v>5305</v>
      </c>
      <c r="B31" s="472" t="s">
        <v>692</v>
      </c>
      <c r="C31" s="476"/>
      <c r="D31" s="476">
        <v>0</v>
      </c>
      <c r="E31" s="476"/>
      <c r="K31" s="475">
        <f t="shared" si="6"/>
        <v>100</v>
      </c>
      <c r="L31" s="497">
        <f t="shared" si="7"/>
        <v>100</v>
      </c>
      <c r="M31" s="471">
        <f t="shared" si="8"/>
        <v>0</v>
      </c>
      <c r="N31" s="477" t="str">
        <f t="shared" si="9"/>
        <v/>
      </c>
      <c r="O31" s="470"/>
      <c r="P31" s="471"/>
    </row>
    <row r="32" spans="1:16" x14ac:dyDescent="0.25">
      <c r="A32" s="907">
        <v>5306</v>
      </c>
      <c r="B32" s="472" t="s">
        <v>1032</v>
      </c>
      <c r="C32" s="478"/>
      <c r="D32" s="478">
        <v>3250</v>
      </c>
      <c r="E32" s="478"/>
      <c r="K32" s="475">
        <f t="shared" si="6"/>
        <v>3800</v>
      </c>
      <c r="L32" s="497">
        <f t="shared" si="7"/>
        <v>3800</v>
      </c>
      <c r="M32" s="471">
        <f t="shared" si="8"/>
        <v>0</v>
      </c>
      <c r="N32" s="477" t="str">
        <f t="shared" si="9"/>
        <v/>
      </c>
      <c r="O32" s="470"/>
      <c r="P32" s="471"/>
    </row>
    <row r="33" spans="1:16" x14ac:dyDescent="0.25">
      <c r="A33" s="907">
        <v>5307</v>
      </c>
      <c r="B33" s="472" t="s">
        <v>684</v>
      </c>
      <c r="C33" s="478">
        <v>1500</v>
      </c>
      <c r="D33" s="478">
        <v>1500</v>
      </c>
      <c r="E33" s="478"/>
      <c r="K33" s="475">
        <f t="shared" si="6"/>
        <v>2000</v>
      </c>
      <c r="L33" s="497">
        <f t="shared" si="7"/>
        <v>2000</v>
      </c>
      <c r="M33" s="471">
        <f t="shared" si="8"/>
        <v>0</v>
      </c>
      <c r="N33" s="477" t="str">
        <f t="shared" si="9"/>
        <v/>
      </c>
      <c r="O33" s="470"/>
      <c r="P33" s="471"/>
    </row>
    <row r="34" spans="1:16" x14ac:dyDescent="0.25">
      <c r="A34" s="907">
        <v>5310</v>
      </c>
      <c r="B34" s="472" t="s">
        <v>1033</v>
      </c>
      <c r="C34" s="478"/>
      <c r="D34" s="478"/>
      <c r="E34" s="478"/>
      <c r="K34" s="475">
        <f t="shared" si="6"/>
        <v>6000</v>
      </c>
      <c r="L34" s="497">
        <f t="shared" si="7"/>
        <v>6000</v>
      </c>
      <c r="M34" s="471">
        <f t="shared" si="8"/>
        <v>0</v>
      </c>
      <c r="N34" s="477" t="str">
        <f t="shared" si="9"/>
        <v/>
      </c>
      <c r="O34" s="470"/>
      <c r="P34" s="471"/>
    </row>
    <row r="35" spans="1:16" x14ac:dyDescent="0.25">
      <c r="A35" s="907">
        <v>5340</v>
      </c>
      <c r="B35" s="472" t="s">
        <v>54</v>
      </c>
      <c r="C35" s="476">
        <v>459</v>
      </c>
      <c r="D35" s="476">
        <v>0</v>
      </c>
      <c r="E35" s="476"/>
      <c r="K35" s="475">
        <f t="shared" si="6"/>
        <v>15000</v>
      </c>
      <c r="L35" s="497">
        <f t="shared" si="7"/>
        <v>15000</v>
      </c>
      <c r="M35" s="471">
        <f t="shared" si="8"/>
        <v>0</v>
      </c>
      <c r="N35" s="477" t="str">
        <f t="shared" si="9"/>
        <v/>
      </c>
      <c r="O35" s="470"/>
      <c r="P35" s="471"/>
    </row>
    <row r="36" spans="1:16" x14ac:dyDescent="0.25">
      <c r="A36" s="907">
        <v>5344</v>
      </c>
      <c r="B36" s="472" t="s">
        <v>153</v>
      </c>
      <c r="C36" s="468">
        <v>2250.5300000000002</v>
      </c>
      <c r="D36" s="468">
        <v>2192.2199999999998</v>
      </c>
      <c r="E36" s="468"/>
      <c r="K36" s="475">
        <f t="shared" si="6"/>
        <v>4000</v>
      </c>
      <c r="L36" s="497">
        <f t="shared" si="7"/>
        <v>4500</v>
      </c>
      <c r="M36" s="471">
        <f t="shared" si="8"/>
        <v>500</v>
      </c>
      <c r="N36" s="477">
        <f t="shared" si="9"/>
        <v>0.125</v>
      </c>
      <c r="O36" s="470" t="s">
        <v>1693</v>
      </c>
      <c r="P36" s="471"/>
    </row>
    <row r="37" spans="1:16" x14ac:dyDescent="0.25">
      <c r="A37" s="907">
        <v>5350</v>
      </c>
      <c r="B37" s="472" t="s">
        <v>863</v>
      </c>
      <c r="C37" s="476"/>
      <c r="D37" s="476"/>
      <c r="E37" s="476"/>
      <c r="K37" s="475">
        <f t="shared" si="6"/>
        <v>6559</v>
      </c>
      <c r="L37" s="497">
        <f t="shared" si="7"/>
        <v>6559</v>
      </c>
      <c r="M37" s="471">
        <f t="shared" si="8"/>
        <v>0</v>
      </c>
      <c r="N37" s="477" t="str">
        <f t="shared" si="9"/>
        <v/>
      </c>
      <c r="O37" s="470"/>
      <c r="P37" s="471"/>
    </row>
    <row r="38" spans="1:16" x14ac:dyDescent="0.25">
      <c r="A38" s="907">
        <v>5420</v>
      </c>
      <c r="B38" s="472" t="s">
        <v>694</v>
      </c>
      <c r="C38" s="476">
        <v>1590.17</v>
      </c>
      <c r="D38" s="476">
        <f>737+737</f>
        <v>1474</v>
      </c>
      <c r="E38" s="476"/>
      <c r="K38" s="475">
        <f t="shared" si="6"/>
        <v>1600</v>
      </c>
      <c r="L38" s="497">
        <f t="shared" si="7"/>
        <v>1600</v>
      </c>
      <c r="M38" s="471">
        <f t="shared" si="8"/>
        <v>0</v>
      </c>
      <c r="N38" s="477" t="str">
        <f t="shared" si="9"/>
        <v/>
      </c>
      <c r="O38" s="470"/>
      <c r="P38" s="471"/>
    </row>
    <row r="39" spans="1:16" x14ac:dyDescent="0.25">
      <c r="A39" s="907">
        <v>5580</v>
      </c>
      <c r="B39" s="472" t="s">
        <v>539</v>
      </c>
      <c r="C39" s="476">
        <v>175.91</v>
      </c>
      <c r="D39" s="476">
        <f>-737+765.3</f>
        <v>28.299999999999955</v>
      </c>
      <c r="E39" s="476"/>
      <c r="K39" s="475">
        <f t="shared" si="6"/>
        <v>120</v>
      </c>
      <c r="L39" s="497">
        <f t="shared" si="7"/>
        <v>120</v>
      </c>
      <c r="M39" s="471">
        <f t="shared" si="8"/>
        <v>0</v>
      </c>
      <c r="N39" s="477" t="str">
        <f t="shared" si="9"/>
        <v/>
      </c>
      <c r="O39" s="470"/>
      <c r="P39" s="471"/>
    </row>
    <row r="41" spans="1:16" x14ac:dyDescent="0.25">
      <c r="B41" s="4" t="s">
        <v>1363</v>
      </c>
      <c r="K41" s="742">
        <f>SUM(K29:K40)</f>
        <v>77579</v>
      </c>
      <c r="L41" s="742">
        <f>SUM(L29:L40)</f>
        <v>78079</v>
      </c>
      <c r="M41" s="202">
        <f>+L41-K41</f>
        <v>500</v>
      </c>
      <c r="N41" s="743">
        <f>IF(K41+L41&lt;&gt;0,IF(K41&lt;&gt;0,IF(M41&lt;&gt;0,ROUND((+M41/K41),4),""),1),"")</f>
        <v>6.4000000000000003E-3</v>
      </c>
    </row>
    <row r="43" spans="1:16" x14ac:dyDescent="0.25">
      <c r="A43" s="876" t="s">
        <v>1457</v>
      </c>
    </row>
    <row r="44" spans="1:16" x14ac:dyDescent="0.25">
      <c r="A44" s="876" t="s">
        <v>910</v>
      </c>
      <c r="B44" s="4">
        <v>31000</v>
      </c>
      <c r="I44" s="23" t="s">
        <v>1458</v>
      </c>
    </row>
    <row r="45" spans="1:16" x14ac:dyDescent="0.25">
      <c r="A45" s="876" t="s">
        <v>911</v>
      </c>
      <c r="B45" s="4">
        <v>31500</v>
      </c>
      <c r="I45" s="23" t="s">
        <v>1458</v>
      </c>
    </row>
    <row r="46" spans="1:16" x14ac:dyDescent="0.25">
      <c r="B46" s="4" t="s">
        <v>1459</v>
      </c>
    </row>
  </sheetData>
  <phoneticPr fontId="0" type="noConversion"/>
  <hyperlinks>
    <hyperlink ref="A1" location="'Working Budget with funding det'!A1" display="Main " xr:uid="{00000000-0004-0000-1300-000000000000}"/>
    <hyperlink ref="B1" location="'Table of Contents'!A1" display="TOC" xr:uid="{00000000-0004-0000-1300-000001000000}"/>
  </hyperlinks>
  <pageMargins left="0.75" right="0.75" top="1" bottom="1" header="0.5" footer="0.5"/>
  <pageSetup fitToHeight="0" orientation="landscape" r:id="rId1"/>
  <headerFooter alignWithMargins="0">
    <oddFooter xml:space="preserve">&amp;L&amp;D  &amp;T&amp;C&amp;F&amp;R&amp;A  </oddFooter>
  </headerFooter>
  <rowBreaks count="1" manualBreakCount="1">
    <brk id="25" max="1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pageSetUpPr fitToPage="1"/>
  </sheetPr>
  <dimension ref="A1:U180"/>
  <sheetViews>
    <sheetView workbookViewId="0">
      <pane ySplit="7" topLeftCell="A36" activePane="bottomLeft" state="frozen"/>
      <selection activeCell="P7" sqref="P7"/>
      <selection pane="bottomLeft" activeCell="A47" sqref="A47:A50"/>
    </sheetView>
  </sheetViews>
  <sheetFormatPr defaultRowHeight="13.2" x14ac:dyDescent="0.25"/>
  <cols>
    <col min="1" max="1" width="12" style="885" customWidth="1"/>
    <col min="2" max="2" width="36.6640625" customWidth="1"/>
    <col min="3" max="3" width="14.44140625" style="1" hidden="1" customWidth="1"/>
    <col min="4" max="10" width="14.44140625" style="114" hidden="1" customWidth="1"/>
    <col min="11" max="13" width="14.44140625" style="114" customWidth="1"/>
    <col min="14" max="14" width="14.44140625" customWidth="1"/>
    <col min="15" max="17" width="14.44140625" style="1" customWidth="1"/>
    <col min="18" max="20" width="14.44140625" customWidth="1"/>
    <col min="21" max="21" width="14.6640625" style="2" customWidth="1"/>
  </cols>
  <sheetData>
    <row r="1" spans="1:20" x14ac:dyDescent="0.25">
      <c r="A1" s="874" t="s">
        <v>1021</v>
      </c>
      <c r="B1" s="371" t="s">
        <v>1348</v>
      </c>
      <c r="Q1"/>
    </row>
    <row r="2" spans="1:20" ht="13.8" x14ac:dyDescent="0.25">
      <c r="A2" s="875" t="s">
        <v>259</v>
      </c>
      <c r="B2" s="45"/>
      <c r="I2" s="141" t="s">
        <v>257</v>
      </c>
      <c r="J2" s="141"/>
      <c r="K2" s="141"/>
      <c r="L2" s="141"/>
      <c r="M2" s="141"/>
      <c r="N2" s="61" t="s">
        <v>287</v>
      </c>
      <c r="P2" s="46" t="s">
        <v>482</v>
      </c>
    </row>
    <row r="3" spans="1:20" ht="13.8" thickBot="1" x14ac:dyDescent="0.3">
      <c r="A3" s="876"/>
      <c r="B3" s="4"/>
      <c r="C3" s="23"/>
      <c r="D3" s="23"/>
      <c r="E3" s="23"/>
      <c r="F3" s="23"/>
      <c r="G3" s="23"/>
      <c r="H3" s="23"/>
      <c r="I3" s="23"/>
      <c r="J3" s="23"/>
      <c r="K3" s="23"/>
      <c r="L3" s="23"/>
      <c r="M3" s="23"/>
      <c r="N3" s="4"/>
      <c r="O3" s="23"/>
      <c r="P3" s="4"/>
      <c r="Q3" s="4"/>
      <c r="T3" s="4"/>
    </row>
    <row r="4" spans="1:20" ht="13.8" thickTop="1" x14ac:dyDescent="0.25">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t="s">
        <v>910</v>
      </c>
    </row>
    <row r="5" spans="1:20" x14ac:dyDescent="0.25">
      <c r="A5" s="878"/>
      <c r="B5" s="209"/>
      <c r="C5" s="127"/>
      <c r="D5" s="87"/>
      <c r="E5" s="113"/>
      <c r="F5" s="87"/>
      <c r="G5" s="87"/>
      <c r="H5" s="113"/>
      <c r="I5" s="290"/>
      <c r="J5" s="290"/>
      <c r="K5" s="290"/>
      <c r="L5" s="290"/>
      <c r="M5" s="290"/>
      <c r="N5" s="113" t="s">
        <v>515</v>
      </c>
      <c r="O5" s="88" t="s">
        <v>7</v>
      </c>
      <c r="P5" s="203" t="s">
        <v>782</v>
      </c>
    </row>
    <row r="6" spans="1:20" x14ac:dyDescent="0.25">
      <c r="A6" s="878"/>
      <c r="B6" s="209"/>
      <c r="C6" s="127"/>
      <c r="D6" s="127"/>
      <c r="E6" s="127"/>
      <c r="F6" s="127"/>
      <c r="G6" s="127"/>
      <c r="H6" s="127"/>
      <c r="I6" s="88"/>
      <c r="J6" s="88"/>
      <c r="K6" s="88"/>
      <c r="L6" s="88"/>
      <c r="M6" s="88"/>
      <c r="N6" s="127"/>
      <c r="O6" s="88" t="s">
        <v>8</v>
      </c>
      <c r="P6" s="47" t="s">
        <v>543</v>
      </c>
    </row>
    <row r="7" spans="1:20"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44561</v>
      </c>
      <c r="O7" s="9" t="s">
        <v>9</v>
      </c>
      <c r="P7" s="9" t="s">
        <v>546</v>
      </c>
    </row>
    <row r="8" spans="1:20" ht="13.8" thickTop="1" x14ac:dyDescent="0.25">
      <c r="A8" s="908"/>
      <c r="B8" s="210"/>
      <c r="C8" s="132"/>
      <c r="D8" s="18"/>
      <c r="E8" s="18"/>
      <c r="F8" s="18"/>
      <c r="G8" s="18"/>
      <c r="H8" s="18"/>
      <c r="I8" s="19"/>
      <c r="J8" s="19"/>
      <c r="K8" s="19"/>
      <c r="L8" s="19"/>
      <c r="M8" s="19"/>
      <c r="N8" s="18"/>
      <c r="O8" s="19"/>
      <c r="P8" s="19"/>
    </row>
    <row r="9" spans="1:20" x14ac:dyDescent="0.25">
      <c r="A9" s="881">
        <v>5111</v>
      </c>
      <c r="B9" s="63" t="s">
        <v>688</v>
      </c>
      <c r="C9" s="130">
        <v>92859.54</v>
      </c>
      <c r="D9" s="13">
        <v>97657.39</v>
      </c>
      <c r="E9" s="13">
        <v>100549.35</v>
      </c>
      <c r="F9" s="13">
        <v>104069.72</v>
      </c>
      <c r="G9" s="13">
        <v>106930.4</v>
      </c>
      <c r="H9" s="13">
        <v>110663.2</v>
      </c>
      <c r="I9" s="13">
        <v>118676.41</v>
      </c>
      <c r="J9" s="13">
        <v>118841.02</v>
      </c>
      <c r="K9" s="14">
        <v>120391</v>
      </c>
      <c r="L9" s="13">
        <v>118781.94</v>
      </c>
      <c r="M9" s="14">
        <v>123870</v>
      </c>
      <c r="N9" s="13">
        <v>59060.08</v>
      </c>
      <c r="O9" s="14">
        <f>ROUND((+N52),0)</f>
        <v>124753</v>
      </c>
      <c r="P9" s="14"/>
    </row>
    <row r="10" spans="1:20" x14ac:dyDescent="0.25">
      <c r="A10" s="881">
        <v>5113</v>
      </c>
      <c r="B10" s="63" t="s">
        <v>103</v>
      </c>
      <c r="C10" s="130">
        <v>338</v>
      </c>
      <c r="D10" s="13">
        <v>500</v>
      </c>
      <c r="E10" s="13">
        <v>500</v>
      </c>
      <c r="F10" s="13">
        <v>500</v>
      </c>
      <c r="G10" s="13">
        <v>500</v>
      </c>
      <c r="H10" s="13">
        <v>500</v>
      </c>
      <c r="I10" s="13">
        <v>500</v>
      </c>
      <c r="J10" s="13">
        <v>525</v>
      </c>
      <c r="K10" s="14">
        <v>525</v>
      </c>
      <c r="L10" s="13">
        <v>525</v>
      </c>
      <c r="M10" s="14">
        <v>525</v>
      </c>
      <c r="N10" s="13">
        <v>262.5</v>
      </c>
      <c r="O10" s="14">
        <v>525</v>
      </c>
      <c r="P10" s="14"/>
    </row>
    <row r="11" spans="1:20" x14ac:dyDescent="0.25">
      <c r="A11" s="881"/>
      <c r="B11" s="63" t="s">
        <v>104</v>
      </c>
      <c r="C11" s="130">
        <v>338</v>
      </c>
      <c r="D11" s="13">
        <v>500</v>
      </c>
      <c r="E11" s="13">
        <v>500</v>
      </c>
      <c r="F11" s="13">
        <v>500</v>
      </c>
      <c r="G11" s="13">
        <v>500</v>
      </c>
      <c r="H11" s="13">
        <v>500</v>
      </c>
      <c r="I11" s="13">
        <v>500</v>
      </c>
      <c r="J11" s="13">
        <v>525</v>
      </c>
      <c r="K11" s="14">
        <v>525</v>
      </c>
      <c r="L11" s="13">
        <v>525</v>
      </c>
      <c r="M11" s="122">
        <v>525</v>
      </c>
      <c r="N11" s="13">
        <v>262.5</v>
      </c>
      <c r="O11" s="122">
        <v>525</v>
      </c>
      <c r="P11" s="14"/>
      <c r="T11" s="94"/>
    </row>
    <row r="12" spans="1:20" x14ac:dyDescent="0.25">
      <c r="A12" s="881"/>
      <c r="B12" s="63" t="s">
        <v>105</v>
      </c>
      <c r="C12" s="130">
        <v>338</v>
      </c>
      <c r="D12" s="13">
        <v>500</v>
      </c>
      <c r="E12" s="13">
        <v>500</v>
      </c>
      <c r="F12" s="13">
        <v>500</v>
      </c>
      <c r="G12" s="13">
        <v>500</v>
      </c>
      <c r="H12" s="13">
        <v>500</v>
      </c>
      <c r="I12" s="13">
        <v>500</v>
      </c>
      <c r="J12" s="13">
        <v>525</v>
      </c>
      <c r="K12" s="14">
        <v>525</v>
      </c>
      <c r="L12" s="13">
        <v>525</v>
      </c>
      <c r="M12" s="122">
        <v>525</v>
      </c>
      <c r="N12" s="13">
        <v>262.5</v>
      </c>
      <c r="O12" s="122">
        <v>525</v>
      </c>
      <c r="P12" s="14"/>
      <c r="T12" s="94"/>
    </row>
    <row r="13" spans="1:20" x14ac:dyDescent="0.25">
      <c r="A13" s="881">
        <v>5124</v>
      </c>
      <c r="B13" s="63" t="s">
        <v>55</v>
      </c>
      <c r="C13" s="130">
        <v>23326</v>
      </c>
      <c r="D13" s="13">
        <v>3758</v>
      </c>
      <c r="E13" s="13">
        <v>17514.5</v>
      </c>
      <c r="F13" s="13">
        <v>14613</v>
      </c>
      <c r="G13" s="13">
        <v>18440.5</v>
      </c>
      <c r="H13" s="13">
        <v>6230.5</v>
      </c>
      <c r="I13" s="13">
        <v>19458.5</v>
      </c>
      <c r="J13" s="13">
        <v>10531.73</v>
      </c>
      <c r="K13" s="14">
        <v>23000</v>
      </c>
      <c r="L13" s="13">
        <v>17065.900000000001</v>
      </c>
      <c r="M13" s="122">
        <f>-1902+6000</f>
        <v>4098</v>
      </c>
      <c r="N13" s="13">
        <v>2779.5</v>
      </c>
      <c r="O13" s="122">
        <v>25500</v>
      </c>
      <c r="P13" s="14"/>
      <c r="Q13" s="671"/>
      <c r="T13" s="222"/>
    </row>
    <row r="14" spans="1:20" x14ac:dyDescent="0.25">
      <c r="A14" s="881">
        <v>5132</v>
      </c>
      <c r="B14" s="63" t="s">
        <v>981</v>
      </c>
      <c r="C14" s="250"/>
      <c r="D14" s="37"/>
      <c r="E14" s="37"/>
      <c r="F14" s="37"/>
      <c r="G14" s="13"/>
      <c r="H14" s="13"/>
      <c r="I14" s="13"/>
      <c r="J14" s="13"/>
      <c r="K14" s="14"/>
      <c r="L14" s="13"/>
      <c r="M14" s="122"/>
      <c r="N14" s="13"/>
      <c r="O14" s="122"/>
      <c r="P14" s="14"/>
      <c r="Q14" s="671"/>
      <c r="T14" s="222"/>
    </row>
    <row r="15" spans="1:20" ht="13.8" thickBot="1" x14ac:dyDescent="0.3">
      <c r="A15" s="881">
        <v>5144</v>
      </c>
      <c r="B15" s="63" t="s">
        <v>157</v>
      </c>
      <c r="C15" s="131">
        <v>150</v>
      </c>
      <c r="D15" s="15">
        <v>150</v>
      </c>
      <c r="E15" s="15">
        <v>150</v>
      </c>
      <c r="F15" s="15">
        <v>200</v>
      </c>
      <c r="G15" s="13">
        <v>800</v>
      </c>
      <c r="H15" s="13">
        <v>800</v>
      </c>
      <c r="I15" s="13">
        <v>800</v>
      </c>
      <c r="J15" s="13">
        <v>300</v>
      </c>
      <c r="K15" s="14">
        <v>300</v>
      </c>
      <c r="L15" s="13">
        <v>300</v>
      </c>
      <c r="M15" s="122">
        <v>300</v>
      </c>
      <c r="N15" s="13">
        <v>300</v>
      </c>
      <c r="O15" s="122">
        <f>+Q52</f>
        <v>300</v>
      </c>
      <c r="P15" s="14"/>
      <c r="T15" s="222"/>
    </row>
    <row r="16" spans="1:20" ht="13.8" hidden="1" thickBot="1" x14ac:dyDescent="0.3">
      <c r="A16" s="881">
        <v>5193</v>
      </c>
      <c r="B16" s="63" t="s">
        <v>1227</v>
      </c>
      <c r="C16" s="709"/>
      <c r="D16" s="30"/>
      <c r="E16" s="30"/>
      <c r="F16" s="30"/>
      <c r="G16" s="13"/>
      <c r="H16" s="13"/>
      <c r="I16" s="13">
        <v>3522.22</v>
      </c>
      <c r="J16" s="13"/>
      <c r="K16" s="14"/>
      <c r="L16" s="13"/>
      <c r="M16" s="14"/>
      <c r="N16" s="13"/>
      <c r="O16" s="122"/>
      <c r="P16" s="14"/>
      <c r="T16" s="222"/>
    </row>
    <row r="17" spans="1:20" ht="13.8" hidden="1" thickBot="1" x14ac:dyDescent="0.3">
      <c r="A17" s="881">
        <v>5194</v>
      </c>
      <c r="B17" s="63" t="s">
        <v>1226</v>
      </c>
      <c r="C17" s="709"/>
      <c r="D17" s="30"/>
      <c r="E17" s="30"/>
      <c r="F17" s="30"/>
      <c r="G17" s="15"/>
      <c r="H17" s="15"/>
      <c r="I17" s="37">
        <v>388.85</v>
      </c>
      <c r="J17" s="37"/>
      <c r="K17" s="38"/>
      <c r="L17" s="37"/>
      <c r="M17" s="38"/>
      <c r="N17" s="37"/>
      <c r="O17" s="125"/>
      <c r="P17" s="38"/>
      <c r="T17" s="222"/>
    </row>
    <row r="18" spans="1:20" x14ac:dyDescent="0.25">
      <c r="A18" s="881"/>
      <c r="B18" s="64" t="s">
        <v>130</v>
      </c>
      <c r="C18" s="132">
        <f t="shared" ref="C18:D18" si="0">SUM(C9:C15)</f>
        <v>117349.54</v>
      </c>
      <c r="D18" s="18">
        <f t="shared" si="0"/>
        <v>103065.39</v>
      </c>
      <c r="E18" s="18">
        <f>SUM(E9:E15)</f>
        <v>119713.85</v>
      </c>
      <c r="F18" s="18">
        <f>SUM(F9:F15)</f>
        <v>120382.72</v>
      </c>
      <c r="G18" s="18">
        <f t="shared" ref="G18:H18" si="1">SUM(G9:G17)</f>
        <v>127670.9</v>
      </c>
      <c r="H18" s="18">
        <f t="shared" si="1"/>
        <v>119193.7</v>
      </c>
      <c r="I18" s="32">
        <f>SUM(I9:I17)</f>
        <v>144345.98000000001</v>
      </c>
      <c r="J18" s="32">
        <f>SUM(J9:J17)</f>
        <v>131247.75</v>
      </c>
      <c r="K18" s="33">
        <f>SUM(K9:K17)</f>
        <v>145266</v>
      </c>
      <c r="L18" s="32">
        <f t="shared" ref="L18:M18" si="2">SUM(L9:L17)</f>
        <v>137722.84</v>
      </c>
      <c r="M18" s="33">
        <f t="shared" si="2"/>
        <v>129843</v>
      </c>
      <c r="N18" s="32">
        <f>SUM(N9:N17)</f>
        <v>62927.08</v>
      </c>
      <c r="O18" s="296">
        <f>SUM(O9:O17)</f>
        <v>152128</v>
      </c>
      <c r="P18" s="33">
        <f>SUM(P9:P15)</f>
        <v>0</v>
      </c>
      <c r="T18" s="94"/>
    </row>
    <row r="19" spans="1:20" x14ac:dyDescent="0.25">
      <c r="A19" s="881"/>
      <c r="B19" s="63"/>
      <c r="C19" s="132"/>
      <c r="D19" s="18"/>
      <c r="E19" s="18"/>
      <c r="F19" s="18"/>
      <c r="G19" s="18"/>
      <c r="H19" s="18"/>
      <c r="I19" s="18"/>
      <c r="J19" s="18"/>
      <c r="K19" s="19"/>
      <c r="L19" s="18"/>
      <c r="M19" s="19"/>
      <c r="N19" s="18"/>
      <c r="O19" s="124"/>
      <c r="P19" s="19"/>
      <c r="T19" s="94"/>
    </row>
    <row r="20" spans="1:20" x14ac:dyDescent="0.25">
      <c r="A20" s="881">
        <v>5247</v>
      </c>
      <c r="B20" s="12" t="s">
        <v>1038</v>
      </c>
      <c r="C20" s="13"/>
      <c r="D20" s="13">
        <v>0</v>
      </c>
      <c r="E20" s="13"/>
      <c r="F20" s="13"/>
      <c r="G20" s="13">
        <v>890</v>
      </c>
      <c r="H20" s="13">
        <v>3667.54</v>
      </c>
      <c r="I20" s="13">
        <v>3496.2</v>
      </c>
      <c r="J20" s="13">
        <v>3509.2</v>
      </c>
      <c r="K20" s="14">
        <v>3750</v>
      </c>
      <c r="L20" s="13">
        <v>2872.2</v>
      </c>
      <c r="M20" s="122">
        <v>6395</v>
      </c>
      <c r="N20" s="13">
        <v>2512</v>
      </c>
      <c r="O20" s="122">
        <v>10190</v>
      </c>
      <c r="P20" s="14"/>
      <c r="T20" s="94"/>
    </row>
    <row r="21" spans="1:20" x14ac:dyDescent="0.25">
      <c r="A21" s="881">
        <v>5248</v>
      </c>
      <c r="B21" s="12" t="s">
        <v>138</v>
      </c>
      <c r="C21" s="13">
        <v>800</v>
      </c>
      <c r="D21" s="13">
        <v>0</v>
      </c>
      <c r="E21" s="13"/>
      <c r="F21" s="13"/>
      <c r="G21" s="13"/>
      <c r="H21" s="13"/>
      <c r="I21" s="13">
        <v>657.99</v>
      </c>
      <c r="J21" s="13"/>
      <c r="K21" s="14">
        <v>500</v>
      </c>
      <c r="L21" s="13"/>
      <c r="M21" s="122">
        <v>500</v>
      </c>
      <c r="N21" s="13">
        <v>65</v>
      </c>
      <c r="O21" s="122">
        <v>500</v>
      </c>
      <c r="P21" s="14"/>
      <c r="Q21" s="671"/>
      <c r="T21" s="94"/>
    </row>
    <row r="22" spans="1:20" hidden="1" x14ac:dyDescent="0.25">
      <c r="A22" s="881">
        <v>5279</v>
      </c>
      <c r="B22" s="12" t="s">
        <v>131</v>
      </c>
      <c r="C22" s="13">
        <v>950</v>
      </c>
      <c r="D22" s="13">
        <v>175</v>
      </c>
      <c r="E22" s="13">
        <v>825</v>
      </c>
      <c r="F22" s="13">
        <v>600</v>
      </c>
      <c r="G22" s="13">
        <v>650</v>
      </c>
      <c r="H22" s="13">
        <v>212.07</v>
      </c>
      <c r="I22" s="13">
        <v>922.36</v>
      </c>
      <c r="J22" s="13"/>
      <c r="K22" s="14"/>
      <c r="L22" s="13"/>
      <c r="M22" s="122"/>
      <c r="N22" s="13"/>
      <c r="O22" s="122"/>
      <c r="P22" s="14"/>
      <c r="T22" s="94"/>
    </row>
    <row r="23" spans="1:20" x14ac:dyDescent="0.25">
      <c r="A23" s="881">
        <v>5305</v>
      </c>
      <c r="B23" s="12" t="s">
        <v>148</v>
      </c>
      <c r="C23" s="13">
        <f>2221.2+3364.97</f>
        <v>5586.17</v>
      </c>
      <c r="D23" s="13">
        <v>4208.42</v>
      </c>
      <c r="E23" s="13">
        <v>4524.41</v>
      </c>
      <c r="F23" s="13">
        <v>4085.91</v>
      </c>
      <c r="G23" s="13">
        <v>3225.89</v>
      </c>
      <c r="H23" s="13">
        <v>3531.52</v>
      </c>
      <c r="I23" s="13">
        <v>3715.75</v>
      </c>
      <c r="J23" s="13">
        <v>4349.83</v>
      </c>
      <c r="K23" s="14">
        <v>4500</v>
      </c>
      <c r="L23" s="13">
        <v>8266.09</v>
      </c>
      <c r="M23" s="122">
        <v>4500</v>
      </c>
      <c r="N23" s="13">
        <v>2931.74</v>
      </c>
      <c r="O23" s="122">
        <v>7000</v>
      </c>
      <c r="P23" s="14"/>
      <c r="T23" s="222"/>
    </row>
    <row r="24" spans="1:20" x14ac:dyDescent="0.25">
      <c r="A24" s="881">
        <v>5314</v>
      </c>
      <c r="B24" s="12" t="s">
        <v>139</v>
      </c>
      <c r="C24" s="13"/>
      <c r="D24" s="13">
        <v>88</v>
      </c>
      <c r="E24" s="13">
        <v>276</v>
      </c>
      <c r="F24" s="13">
        <v>341</v>
      </c>
      <c r="G24" s="13">
        <v>256</v>
      </c>
      <c r="H24" s="13">
        <v>582.32000000000005</v>
      </c>
      <c r="I24" s="13">
        <v>200</v>
      </c>
      <c r="J24" s="13">
        <v>100</v>
      </c>
      <c r="K24" s="14">
        <v>300</v>
      </c>
      <c r="L24" s="13">
        <v>100</v>
      </c>
      <c r="M24" s="122">
        <v>300</v>
      </c>
      <c r="N24" s="13">
        <v>150</v>
      </c>
      <c r="O24" s="122">
        <v>300</v>
      </c>
      <c r="P24" s="14"/>
      <c r="Q24" s="224"/>
      <c r="T24" s="94"/>
    </row>
    <row r="25" spans="1:20" x14ac:dyDescent="0.25">
      <c r="A25" s="881">
        <v>5315</v>
      </c>
      <c r="B25" s="12" t="s">
        <v>140</v>
      </c>
      <c r="C25" s="13"/>
      <c r="D25" s="13"/>
      <c r="E25" s="13">
        <v>2582.5700000000002</v>
      </c>
      <c r="F25" s="13">
        <v>2358.5</v>
      </c>
      <c r="G25" s="13">
        <v>1875.43</v>
      </c>
      <c r="H25" s="13">
        <v>1817.42</v>
      </c>
      <c r="I25" s="13">
        <v>2373.12</v>
      </c>
      <c r="J25" s="13">
        <v>5925.24</v>
      </c>
      <c r="K25" s="14">
        <v>2400</v>
      </c>
      <c r="L25" s="13">
        <v>4994.7299999999996</v>
      </c>
      <c r="M25" s="122">
        <v>3600</v>
      </c>
      <c r="N25" s="13">
        <v>1655.43</v>
      </c>
      <c r="O25" s="122">
        <v>6700</v>
      </c>
      <c r="P25" s="14"/>
      <c r="T25" s="222"/>
    </row>
    <row r="26" spans="1:20" hidden="1" x14ac:dyDescent="0.25">
      <c r="A26" s="881">
        <v>5341</v>
      </c>
      <c r="B26" s="12" t="s">
        <v>141</v>
      </c>
      <c r="C26" s="13">
        <v>244.76</v>
      </c>
      <c r="D26" s="13">
        <v>223.51</v>
      </c>
      <c r="E26" s="13">
        <v>227.83</v>
      </c>
      <c r="F26" s="13">
        <v>246.23</v>
      </c>
      <c r="G26" s="13">
        <v>325.16000000000003</v>
      </c>
      <c r="I26" s="13"/>
      <c r="J26" s="13"/>
      <c r="K26" s="14"/>
      <c r="L26" s="13"/>
      <c r="M26" s="122"/>
      <c r="N26" s="13"/>
      <c r="O26" s="122"/>
      <c r="P26" s="14"/>
      <c r="T26" s="94"/>
    </row>
    <row r="27" spans="1:20" x14ac:dyDescent="0.25">
      <c r="A27" s="881">
        <v>5344</v>
      </c>
      <c r="B27" s="12" t="s">
        <v>142</v>
      </c>
      <c r="C27" s="13">
        <v>3108.8</v>
      </c>
      <c r="D27" s="13">
        <v>1606.46</v>
      </c>
      <c r="E27" s="13">
        <v>2988.74</v>
      </c>
      <c r="F27" s="13">
        <v>3219.39</v>
      </c>
      <c r="G27" s="13">
        <v>2824.51</v>
      </c>
      <c r="H27" s="13">
        <v>3002.61</v>
      </c>
      <c r="I27" s="13">
        <v>3452.15</v>
      </c>
      <c r="J27" s="13">
        <v>3203.19</v>
      </c>
      <c r="K27" s="14">
        <v>3850</v>
      </c>
      <c r="L27" s="13">
        <v>2675.17</v>
      </c>
      <c r="M27" s="122">
        <v>3850</v>
      </c>
      <c r="N27" s="13">
        <v>2527.52</v>
      </c>
      <c r="O27" s="122">
        <v>5850</v>
      </c>
      <c r="P27" s="14"/>
      <c r="T27" s="94"/>
    </row>
    <row r="28" spans="1:20" x14ac:dyDescent="0.25">
      <c r="A28" s="881">
        <v>5345</v>
      </c>
      <c r="B28" s="12" t="s">
        <v>143</v>
      </c>
      <c r="C28" s="18"/>
      <c r="D28" s="18"/>
      <c r="E28" s="18"/>
      <c r="F28" s="18"/>
      <c r="G28" s="18"/>
      <c r="H28" s="13"/>
      <c r="I28" s="18">
        <v>70.209999999999994</v>
      </c>
      <c r="J28" s="18"/>
      <c r="K28" s="19">
        <v>500</v>
      </c>
      <c r="L28" s="18">
        <v>0</v>
      </c>
      <c r="M28" s="124">
        <v>100</v>
      </c>
      <c r="N28" s="18"/>
      <c r="O28" s="124">
        <v>100</v>
      </c>
      <c r="P28" s="19"/>
      <c r="T28" s="94"/>
    </row>
    <row r="29" spans="1:20" x14ac:dyDescent="0.25">
      <c r="A29" s="881">
        <v>5420</v>
      </c>
      <c r="B29" s="12" t="s">
        <v>144</v>
      </c>
      <c r="C29" s="18">
        <v>1490.81</v>
      </c>
      <c r="D29" s="18">
        <v>1184.98</v>
      </c>
      <c r="E29" s="18">
        <v>2381.5100000000002</v>
      </c>
      <c r="F29" s="18">
        <v>3387.13</v>
      </c>
      <c r="G29" s="18">
        <v>3273.56</v>
      </c>
      <c r="H29" s="13">
        <v>1478.84</v>
      </c>
      <c r="I29" s="18">
        <v>3927.07</v>
      </c>
      <c r="J29" s="18">
        <v>3766.35</v>
      </c>
      <c r="K29" s="19">
        <v>4000</v>
      </c>
      <c r="L29" s="18">
        <v>5461.54</v>
      </c>
      <c r="M29" s="19">
        <v>4000</v>
      </c>
      <c r="N29" s="18">
        <v>2133.4499999999998</v>
      </c>
      <c r="O29" s="19">
        <v>5500</v>
      </c>
      <c r="P29" s="19"/>
    </row>
    <row r="30" spans="1:20" x14ac:dyDescent="0.25">
      <c r="A30" s="881">
        <v>5430</v>
      </c>
      <c r="B30" s="12" t="s">
        <v>1843</v>
      </c>
      <c r="C30" s="18"/>
      <c r="D30" s="18"/>
      <c r="E30" s="18"/>
      <c r="F30" s="18"/>
      <c r="G30" s="18"/>
      <c r="H30" s="18"/>
      <c r="I30" s="18"/>
      <c r="J30" s="18"/>
      <c r="K30" s="19"/>
      <c r="L30" s="18"/>
      <c r="M30" s="19"/>
      <c r="N30" s="18"/>
      <c r="O30" s="19">
        <v>1300</v>
      </c>
      <c r="P30" s="19"/>
    </row>
    <row r="31" spans="1:20" x14ac:dyDescent="0.25">
      <c r="A31" s="881">
        <v>5581</v>
      </c>
      <c r="B31" s="12" t="s">
        <v>146</v>
      </c>
      <c r="C31" s="18"/>
      <c r="D31" s="18">
        <v>88.4</v>
      </c>
      <c r="E31" s="18">
        <v>113.4</v>
      </c>
      <c r="F31" s="18">
        <v>25</v>
      </c>
      <c r="G31" s="18">
        <v>123.8</v>
      </c>
      <c r="H31" s="18">
        <v>131.6</v>
      </c>
      <c r="I31" s="18">
        <v>136.6</v>
      </c>
      <c r="J31" s="18">
        <v>147</v>
      </c>
      <c r="K31" s="19">
        <v>125</v>
      </c>
      <c r="L31" s="18">
        <v>157.4</v>
      </c>
      <c r="M31" s="19">
        <v>275</v>
      </c>
      <c r="N31" s="18"/>
      <c r="O31" s="19">
        <v>275</v>
      </c>
      <c r="P31" s="19"/>
    </row>
    <row r="32" spans="1:20" hidden="1" x14ac:dyDescent="0.25">
      <c r="A32" s="881">
        <v>5599</v>
      </c>
      <c r="B32" s="12" t="s">
        <v>796</v>
      </c>
      <c r="C32" s="18"/>
      <c r="D32" s="18">
        <v>1700</v>
      </c>
      <c r="E32" s="18"/>
      <c r="F32" s="18"/>
      <c r="G32" s="18"/>
      <c r="H32" s="18"/>
      <c r="I32" s="18"/>
      <c r="J32" s="18"/>
      <c r="K32" s="19"/>
      <c r="L32" s="18"/>
      <c r="M32" s="19"/>
      <c r="N32" s="18"/>
      <c r="O32" s="19"/>
      <c r="P32" s="19"/>
    </row>
    <row r="33" spans="1:20" x14ac:dyDescent="0.25">
      <c r="A33" s="881">
        <v>5710</v>
      </c>
      <c r="B33" s="12" t="s">
        <v>535</v>
      </c>
      <c r="C33" s="18">
        <v>663.46</v>
      </c>
      <c r="D33" s="18">
        <v>859.2</v>
      </c>
      <c r="E33" s="18">
        <v>719.34</v>
      </c>
      <c r="F33" s="18">
        <v>370.39</v>
      </c>
      <c r="G33" s="18">
        <v>855.51</v>
      </c>
      <c r="H33" s="18">
        <v>871.44</v>
      </c>
      <c r="I33" s="18">
        <v>1191.17</v>
      </c>
      <c r="J33" s="18">
        <v>412.92</v>
      </c>
      <c r="K33" s="19">
        <v>1500</v>
      </c>
      <c r="L33" s="18">
        <v>856.01</v>
      </c>
      <c r="M33" s="19">
        <v>1500</v>
      </c>
      <c r="N33" s="18">
        <v>370</v>
      </c>
      <c r="O33" s="19">
        <v>2000</v>
      </c>
      <c r="P33" s="19"/>
    </row>
    <row r="34" spans="1:20" x14ac:dyDescent="0.25">
      <c r="A34" s="881">
        <v>5730</v>
      </c>
      <c r="B34" s="12" t="s">
        <v>147</v>
      </c>
      <c r="C34" s="13">
        <v>110</v>
      </c>
      <c r="D34" s="13">
        <v>110</v>
      </c>
      <c r="E34" s="13">
        <v>85</v>
      </c>
      <c r="F34" s="13">
        <v>100</v>
      </c>
      <c r="G34" s="13">
        <v>75</v>
      </c>
      <c r="H34" s="13">
        <v>85</v>
      </c>
      <c r="I34" s="13">
        <v>110</v>
      </c>
      <c r="J34" s="13">
        <v>115</v>
      </c>
      <c r="K34" s="14">
        <v>110</v>
      </c>
      <c r="L34" s="13">
        <v>110</v>
      </c>
      <c r="M34" s="14">
        <v>110</v>
      </c>
      <c r="N34" s="13">
        <v>110</v>
      </c>
      <c r="O34" s="14">
        <v>110</v>
      </c>
      <c r="P34" s="14"/>
    </row>
    <row r="35" spans="1:20" ht="13.8" thickBot="1" x14ac:dyDescent="0.3">
      <c r="A35" s="881">
        <v>5740</v>
      </c>
      <c r="B35" s="12" t="s">
        <v>154</v>
      </c>
      <c r="C35" s="15">
        <v>200</v>
      </c>
      <c r="D35" s="15">
        <v>200</v>
      </c>
      <c r="E35" s="15">
        <v>200</v>
      </c>
      <c r="F35" s="15">
        <v>200</v>
      </c>
      <c r="G35" s="15">
        <v>200</v>
      </c>
      <c r="H35" s="15">
        <v>200</v>
      </c>
      <c r="I35" s="15">
        <v>200</v>
      </c>
      <c r="J35" s="15">
        <v>200</v>
      </c>
      <c r="K35" s="16">
        <v>200</v>
      </c>
      <c r="L35" s="15">
        <v>200</v>
      </c>
      <c r="M35" s="16">
        <v>200</v>
      </c>
      <c r="N35" s="15">
        <v>200</v>
      </c>
      <c r="O35" s="16">
        <v>200</v>
      </c>
      <c r="P35" s="16"/>
    </row>
    <row r="36" spans="1:20" x14ac:dyDescent="0.25">
      <c r="A36" s="881"/>
      <c r="B36" s="17" t="s">
        <v>449</v>
      </c>
      <c r="C36" s="37">
        <f t="shared" ref="C36:N36" si="3">SUM(C20:C35)</f>
        <v>13154</v>
      </c>
      <c r="D36" s="37">
        <f t="shared" si="3"/>
        <v>10443.970000000001</v>
      </c>
      <c r="E36" s="37">
        <f t="shared" si="3"/>
        <v>14923.8</v>
      </c>
      <c r="F36" s="37">
        <f>SUM(F20:F35)</f>
        <v>14933.55</v>
      </c>
      <c r="G36" s="37">
        <f>SUM(G20:G35)</f>
        <v>14574.859999999999</v>
      </c>
      <c r="H36" s="37">
        <f>SUM(H20:H35)</f>
        <v>15580.36</v>
      </c>
      <c r="I36" s="37">
        <f t="shared" si="3"/>
        <v>20452.619999999995</v>
      </c>
      <c r="J36" s="37">
        <f t="shared" ref="J36" si="4">SUM(J20:J35)</f>
        <v>21728.729999999996</v>
      </c>
      <c r="K36" s="38">
        <f>SUM(K20:K35)</f>
        <v>21735</v>
      </c>
      <c r="L36" s="37">
        <f t="shared" ref="L36:M36" si="5">SUM(L20:L35)</f>
        <v>25693.140000000003</v>
      </c>
      <c r="M36" s="38">
        <f t="shared" si="5"/>
        <v>25330</v>
      </c>
      <c r="N36" s="37">
        <f t="shared" si="3"/>
        <v>12655.14</v>
      </c>
      <c r="O36" s="38">
        <f>SUM(O20:O35)</f>
        <v>40025</v>
      </c>
      <c r="P36" s="38">
        <f>SUM(P20:P35)</f>
        <v>0</v>
      </c>
    </row>
    <row r="37" spans="1:20" ht="12.75" customHeight="1" x14ac:dyDescent="0.25">
      <c r="A37" s="881"/>
      <c r="B37" s="12"/>
      <c r="C37" s="13"/>
      <c r="D37" s="13"/>
      <c r="E37" s="13"/>
      <c r="F37" s="13"/>
      <c r="G37" s="13"/>
      <c r="H37" s="13"/>
      <c r="I37" s="13"/>
      <c r="J37" s="13"/>
      <c r="K37" s="14"/>
      <c r="L37" s="13"/>
      <c r="M37" s="14"/>
      <c r="N37" s="13"/>
      <c r="O37" s="14"/>
      <c r="P37" s="14"/>
    </row>
    <row r="38" spans="1:20" ht="13.8" thickBot="1" x14ac:dyDescent="0.3">
      <c r="A38" s="882"/>
      <c r="B38" s="20" t="s">
        <v>288</v>
      </c>
      <c r="C38" s="21">
        <f t="shared" ref="C38:N38" si="6">+C36+C18</f>
        <v>130503.54</v>
      </c>
      <c r="D38" s="21">
        <f t="shared" si="6"/>
        <v>113509.36</v>
      </c>
      <c r="E38" s="21">
        <f t="shared" si="6"/>
        <v>134637.65</v>
      </c>
      <c r="F38" s="21">
        <f>+F36+F18</f>
        <v>135316.26999999999</v>
      </c>
      <c r="G38" s="21">
        <f>+G36+G18</f>
        <v>142245.75999999998</v>
      </c>
      <c r="H38" s="21">
        <f>+H36+H18</f>
        <v>134774.06</v>
      </c>
      <c r="I38" s="21">
        <f t="shared" si="6"/>
        <v>164798.6</v>
      </c>
      <c r="J38" s="21">
        <f t="shared" ref="J38" si="7">+J36+J18</f>
        <v>152976.47999999998</v>
      </c>
      <c r="K38" s="22">
        <f>+K36+K18</f>
        <v>167001</v>
      </c>
      <c r="L38" s="21">
        <f t="shared" ref="L38:M38" si="8">+L36+L18</f>
        <v>163415.98000000001</v>
      </c>
      <c r="M38" s="22">
        <f t="shared" si="8"/>
        <v>155173</v>
      </c>
      <c r="N38" s="21">
        <f t="shared" si="6"/>
        <v>75582.22</v>
      </c>
      <c r="O38" s="22">
        <f>+O36+O18</f>
        <v>192153</v>
      </c>
      <c r="P38" s="22">
        <f>+O38</f>
        <v>192153</v>
      </c>
    </row>
    <row r="39" spans="1:20" ht="12.75" customHeight="1" thickTop="1" x14ac:dyDescent="0.3">
      <c r="A39" s="876"/>
      <c r="B39" s="4"/>
      <c r="C39" s="23"/>
      <c r="D39" s="23"/>
      <c r="E39" s="23"/>
      <c r="F39" s="23"/>
      <c r="G39" s="23"/>
      <c r="H39" s="23"/>
      <c r="I39" s="23"/>
      <c r="J39" s="23"/>
      <c r="K39" s="23"/>
      <c r="L39" s="23"/>
      <c r="M39" s="23"/>
      <c r="N39" s="27"/>
      <c r="O39" s="23"/>
      <c r="P39" s="77"/>
      <c r="Q39" s="23"/>
      <c r="R39" s="27"/>
      <c r="S39" s="208"/>
      <c r="T39" s="27"/>
    </row>
    <row r="40" spans="1:20" ht="12.75" customHeight="1" x14ac:dyDescent="0.35">
      <c r="A40" s="876"/>
      <c r="B40" s="436"/>
      <c r="C40" s="324"/>
      <c r="D40" s="324"/>
      <c r="E40" s="324"/>
      <c r="F40" s="105"/>
      <c r="G40" s="105"/>
      <c r="H40" s="105"/>
      <c r="I40" s="23"/>
      <c r="J40" s="23"/>
      <c r="K40" s="23"/>
      <c r="L40" s="23"/>
      <c r="M40" s="23"/>
      <c r="N40" s="27"/>
      <c r="O40" s="23"/>
      <c r="P40" s="77"/>
      <c r="Q40" s="27"/>
      <c r="R40" s="27"/>
      <c r="S40" s="27"/>
      <c r="T40" s="27"/>
    </row>
    <row r="41" spans="1:20" ht="12.75" customHeight="1" x14ac:dyDescent="0.35">
      <c r="A41" s="876"/>
      <c r="B41" s="436"/>
      <c r="C41" s="324"/>
      <c r="D41" s="324"/>
      <c r="E41" s="324"/>
      <c r="F41" s="105"/>
      <c r="G41" s="105"/>
      <c r="H41" s="105"/>
      <c r="I41" s="23"/>
      <c r="J41" s="23"/>
      <c r="K41" s="23"/>
      <c r="L41" s="23"/>
      <c r="M41" s="23"/>
      <c r="N41" s="27"/>
      <c r="O41" s="23"/>
      <c r="P41" s="77"/>
      <c r="Q41" s="27"/>
      <c r="R41" s="27"/>
      <c r="S41" s="27"/>
      <c r="T41" s="27"/>
    </row>
    <row r="42" spans="1:20" x14ac:dyDescent="0.25">
      <c r="A42" s="876"/>
      <c r="B42" s="4"/>
    </row>
    <row r="43" spans="1:20" x14ac:dyDescent="0.25">
      <c r="A43" s="66"/>
      <c r="B43" s="4"/>
    </row>
    <row r="44" spans="1:20" ht="13.8" thickBot="1" x14ac:dyDescent="0.3">
      <c r="A44" s="876"/>
      <c r="B44" s="4"/>
    </row>
    <row r="45" spans="1:20" ht="13.8" thickTop="1" x14ac:dyDescent="0.25">
      <c r="A45" s="883" t="s">
        <v>891</v>
      </c>
      <c r="B45" s="107"/>
      <c r="K45" s="316" t="s">
        <v>85</v>
      </c>
      <c r="L45" s="156" t="s">
        <v>33</v>
      </c>
      <c r="M45" s="168"/>
      <c r="N45" s="158" t="s">
        <v>579</v>
      </c>
      <c r="O45"/>
      <c r="P45" s="212"/>
      <c r="Q45"/>
    </row>
    <row r="46" spans="1:20" ht="13.8" thickBot="1" x14ac:dyDescent="0.3">
      <c r="A46" s="884" t="s">
        <v>892</v>
      </c>
      <c r="B46" s="109" t="s">
        <v>528</v>
      </c>
      <c r="K46" s="343">
        <v>44743</v>
      </c>
      <c r="L46" s="159" t="s">
        <v>576</v>
      </c>
      <c r="M46" s="160" t="s">
        <v>34</v>
      </c>
      <c r="N46" s="160" t="s">
        <v>106</v>
      </c>
      <c r="O46" s="234"/>
      <c r="P46" s="234"/>
      <c r="Q46" s="234" t="s">
        <v>350</v>
      </c>
    </row>
    <row r="47" spans="1:20" ht="13.8" thickTop="1" x14ac:dyDescent="0.25">
      <c r="A47" s="151"/>
      <c r="B47" s="110" t="s">
        <v>386</v>
      </c>
      <c r="K47" s="18" t="s">
        <v>1313</v>
      </c>
      <c r="L47" s="207"/>
      <c r="M47" s="169"/>
      <c r="N47" s="155">
        <f>+'NAGE &amp; Non-Union Wages'!L10</f>
        <v>76139</v>
      </c>
      <c r="O47"/>
      <c r="P47"/>
      <c r="Q47" s="2"/>
    </row>
    <row r="48" spans="1:20" x14ac:dyDescent="0.25">
      <c r="A48" s="151"/>
      <c r="B48" s="110" t="s">
        <v>46</v>
      </c>
      <c r="K48" s="311"/>
      <c r="L48" s="207"/>
      <c r="M48" s="169"/>
      <c r="N48" s="155">
        <v>840</v>
      </c>
      <c r="O48"/>
      <c r="P48"/>
      <c r="Q48" s="2"/>
    </row>
    <row r="49" spans="1:20" x14ac:dyDescent="0.25">
      <c r="A49" s="151"/>
      <c r="B49" s="110" t="s">
        <v>757</v>
      </c>
      <c r="K49" s="311"/>
      <c r="L49" s="207"/>
      <c r="M49" s="169"/>
      <c r="N49" s="155">
        <v>1000</v>
      </c>
      <c r="O49"/>
      <c r="P49"/>
      <c r="Q49" s="2"/>
    </row>
    <row r="50" spans="1:20" x14ac:dyDescent="0.25">
      <c r="A50" s="152"/>
      <c r="B50" s="63" t="s">
        <v>385</v>
      </c>
      <c r="K50" s="144" t="s">
        <v>1017</v>
      </c>
      <c r="L50" s="166">
        <f>+'NAGE &amp; Non-Union Wages'!K7</f>
        <v>25.7</v>
      </c>
      <c r="M50" s="18">
        <v>1820</v>
      </c>
      <c r="N50" s="155">
        <f>+ROUND((+L50*M50),2)</f>
        <v>46774</v>
      </c>
      <c r="O50" s="171"/>
      <c r="P50" s="885"/>
      <c r="Q50" s="2">
        <v>300</v>
      </c>
    </row>
    <row r="51" spans="1:20" x14ac:dyDescent="0.25">
      <c r="A51" s="911"/>
      <c r="B51" s="152"/>
      <c r="K51" s="13"/>
      <c r="L51" s="63"/>
      <c r="M51" s="19"/>
      <c r="N51" s="155"/>
      <c r="O51"/>
      <c r="P51"/>
      <c r="Q51" s="2"/>
    </row>
    <row r="52" spans="1:20" x14ac:dyDescent="0.25">
      <c r="A52" s="876"/>
      <c r="B52" s="4"/>
      <c r="C52" s="23"/>
      <c r="D52" s="23"/>
      <c r="E52" s="23"/>
      <c r="I52" s="23"/>
      <c r="J52" s="23"/>
      <c r="K52" s="23"/>
      <c r="L52" s="23"/>
      <c r="M52" s="23"/>
      <c r="N52" s="27">
        <f>SUM(N47:N51)</f>
        <v>124753</v>
      </c>
      <c r="O52" s="27"/>
      <c r="P52" s="27"/>
      <c r="Q52" s="2">
        <f>SUM(Q50:Q51)</f>
        <v>300</v>
      </c>
    </row>
    <row r="53" spans="1:20" ht="13.8" thickBot="1" x14ac:dyDescent="0.3">
      <c r="A53" s="930"/>
      <c r="B53" s="4"/>
      <c r="C53" s="23"/>
      <c r="D53" s="23"/>
      <c r="E53" s="23"/>
      <c r="I53" s="23"/>
      <c r="J53" s="23"/>
      <c r="K53" s="23"/>
      <c r="L53" s="23"/>
      <c r="M53" s="23"/>
      <c r="N53" s="27"/>
      <c r="O53" s="23"/>
      <c r="P53" s="23"/>
      <c r="Q53" s="23"/>
      <c r="R53" s="27"/>
      <c r="S53" s="27"/>
      <c r="T53" s="27"/>
    </row>
    <row r="54" spans="1:20" ht="13.8" thickTop="1" x14ac:dyDescent="0.25">
      <c r="A54" s="893"/>
      <c r="B54" s="452"/>
      <c r="C54" s="453" t="s">
        <v>127</v>
      </c>
      <c r="D54" s="454" t="s">
        <v>127</v>
      </c>
      <c r="E54" s="454"/>
      <c r="K54" s="455" t="s">
        <v>547</v>
      </c>
      <c r="L54" s="456" t="s">
        <v>9</v>
      </c>
      <c r="M54" s="457" t="s">
        <v>1073</v>
      </c>
      <c r="N54" s="456" t="s">
        <v>686</v>
      </c>
      <c r="O54" s="458"/>
      <c r="P54" s="457"/>
      <c r="Q54" s="23"/>
      <c r="R54" s="27"/>
      <c r="S54" s="27"/>
      <c r="T54" s="27"/>
    </row>
    <row r="55" spans="1:20" ht="13.8" thickBot="1" x14ac:dyDescent="0.3">
      <c r="A55" s="894" t="s">
        <v>128</v>
      </c>
      <c r="B55" s="459"/>
      <c r="C55" s="460" t="s">
        <v>347</v>
      </c>
      <c r="D55" s="460" t="s">
        <v>722</v>
      </c>
      <c r="E55" s="460"/>
      <c r="K55" s="462" t="s">
        <v>909</v>
      </c>
      <c r="L55" s="462" t="s">
        <v>910</v>
      </c>
      <c r="M55" s="461" t="s">
        <v>1075</v>
      </c>
      <c r="N55" s="463" t="s">
        <v>1075</v>
      </c>
      <c r="O55" s="464" t="s">
        <v>1074</v>
      </c>
      <c r="P55" s="462"/>
      <c r="Q55" s="23"/>
      <c r="R55" s="27"/>
      <c r="S55" s="27"/>
      <c r="T55" s="27"/>
    </row>
    <row r="56" spans="1:20" ht="13.8" thickTop="1" x14ac:dyDescent="0.25">
      <c r="A56" s="910"/>
      <c r="B56" s="480"/>
      <c r="C56" s="468"/>
      <c r="D56" s="468"/>
      <c r="E56" s="468"/>
      <c r="K56" s="469"/>
      <c r="L56" s="468"/>
      <c r="M56" s="471"/>
      <c r="N56" s="477"/>
      <c r="O56" s="470"/>
      <c r="P56" s="471"/>
      <c r="Q56" s="23"/>
      <c r="R56" s="27"/>
      <c r="S56" s="27"/>
      <c r="T56" s="27"/>
    </row>
    <row r="57" spans="1:20" x14ac:dyDescent="0.25">
      <c r="A57" s="907">
        <v>5111</v>
      </c>
      <c r="B57" s="472" t="s">
        <v>688</v>
      </c>
      <c r="C57" s="476">
        <v>92859.54</v>
      </c>
      <c r="D57" s="476">
        <v>97657.39</v>
      </c>
      <c r="E57" s="476"/>
      <c r="K57" s="475">
        <f>+M9</f>
        <v>123870</v>
      </c>
      <c r="L57" s="497">
        <f>+O9</f>
        <v>124753</v>
      </c>
      <c r="M57" s="471">
        <f t="shared" ref="M57:M78" si="9">+L57-K57</f>
        <v>883</v>
      </c>
      <c r="N57" s="477">
        <f t="shared" ref="N57:N70" si="10">IF(K57+L57&lt;&gt;0,IF(K57&lt;&gt;0,IF(M57&lt;&gt;0,ROUND((+M57/K57),4),""),1),"")</f>
        <v>7.1000000000000004E-3</v>
      </c>
      <c r="O57" s="470" t="s">
        <v>1844</v>
      </c>
      <c r="P57" s="471"/>
      <c r="Q57" s="23"/>
      <c r="R57" s="27"/>
      <c r="S57" s="27"/>
      <c r="T57" s="27"/>
    </row>
    <row r="58" spans="1:20" x14ac:dyDescent="0.25">
      <c r="A58" s="907">
        <v>5113</v>
      </c>
      <c r="B58" s="472" t="s">
        <v>103</v>
      </c>
      <c r="C58" s="476">
        <v>338</v>
      </c>
      <c r="D58" s="476">
        <v>500</v>
      </c>
      <c r="E58" s="476"/>
      <c r="K58" s="475">
        <f>+M10</f>
        <v>525</v>
      </c>
      <c r="L58" s="497">
        <f>+O10</f>
        <v>525</v>
      </c>
      <c r="M58" s="471">
        <f t="shared" si="9"/>
        <v>0</v>
      </c>
      <c r="N58" s="477" t="str">
        <f t="shared" si="10"/>
        <v/>
      </c>
      <c r="O58" s="470"/>
      <c r="P58" s="471"/>
      <c r="Q58" s="23"/>
      <c r="R58" s="27"/>
      <c r="S58" s="27"/>
      <c r="T58" s="27"/>
    </row>
    <row r="59" spans="1:20" x14ac:dyDescent="0.25">
      <c r="A59" s="907"/>
      <c r="B59" s="472" t="s">
        <v>104</v>
      </c>
      <c r="C59" s="476">
        <v>338</v>
      </c>
      <c r="D59" s="476">
        <v>500</v>
      </c>
      <c r="E59" s="476"/>
      <c r="K59" s="475">
        <f>+M11</f>
        <v>525</v>
      </c>
      <c r="L59" s="497">
        <f>+O11</f>
        <v>525</v>
      </c>
      <c r="M59" s="471">
        <f t="shared" si="9"/>
        <v>0</v>
      </c>
      <c r="N59" s="477" t="str">
        <f t="shared" si="10"/>
        <v/>
      </c>
      <c r="O59" s="470"/>
      <c r="P59" s="471"/>
      <c r="Q59" s="23"/>
      <c r="R59" s="27"/>
      <c r="S59" s="27"/>
      <c r="T59" s="27"/>
    </row>
    <row r="60" spans="1:20" x14ac:dyDescent="0.25">
      <c r="A60" s="907"/>
      <c r="B60" s="472" t="s">
        <v>105</v>
      </c>
      <c r="C60" s="476">
        <v>338</v>
      </c>
      <c r="D60" s="476">
        <v>500</v>
      </c>
      <c r="E60" s="476"/>
      <c r="K60" s="475">
        <f>+M12</f>
        <v>525</v>
      </c>
      <c r="L60" s="497">
        <f>+O12</f>
        <v>525</v>
      </c>
      <c r="M60" s="471">
        <f t="shared" si="9"/>
        <v>0</v>
      </c>
      <c r="N60" s="477" t="str">
        <f t="shared" si="10"/>
        <v/>
      </c>
      <c r="O60" s="470"/>
      <c r="P60" s="471"/>
      <c r="Q60" s="23"/>
      <c r="R60" s="27"/>
      <c r="S60" s="27"/>
      <c r="T60" s="27"/>
    </row>
    <row r="61" spans="1:20" x14ac:dyDescent="0.25">
      <c r="A61" s="907">
        <v>5124</v>
      </c>
      <c r="B61" s="472" t="s">
        <v>55</v>
      </c>
      <c r="C61" s="476">
        <v>23326</v>
      </c>
      <c r="D61" s="476">
        <v>3758</v>
      </c>
      <c r="E61" s="476"/>
      <c r="K61" s="475">
        <f>+M13</f>
        <v>4098</v>
      </c>
      <c r="L61" s="497">
        <f>+O13</f>
        <v>25500</v>
      </c>
      <c r="M61" s="471">
        <f t="shared" si="9"/>
        <v>21402</v>
      </c>
      <c r="N61" s="477">
        <f t="shared" si="10"/>
        <v>5.2225000000000001</v>
      </c>
      <c r="O61" s="470" t="s">
        <v>1783</v>
      </c>
      <c r="P61" s="471"/>
      <c r="Q61" s="23"/>
      <c r="R61" s="27"/>
      <c r="S61" s="27"/>
      <c r="T61" s="27"/>
    </row>
    <row r="62" spans="1:20" ht="13.8" thickBot="1" x14ac:dyDescent="0.3">
      <c r="A62" s="907">
        <v>5144</v>
      </c>
      <c r="B62" s="472" t="s">
        <v>157</v>
      </c>
      <c r="C62" s="474">
        <v>150</v>
      </c>
      <c r="D62" s="474">
        <v>150</v>
      </c>
      <c r="E62" s="478"/>
      <c r="K62" s="475">
        <f>+M15</f>
        <v>300</v>
      </c>
      <c r="L62" s="497">
        <f>+O15</f>
        <v>300</v>
      </c>
      <c r="M62" s="471">
        <f t="shared" si="9"/>
        <v>0</v>
      </c>
      <c r="N62" s="477" t="str">
        <f t="shared" si="10"/>
        <v/>
      </c>
      <c r="O62" s="470"/>
      <c r="P62" s="471"/>
      <c r="Q62" s="23"/>
      <c r="R62" s="27"/>
      <c r="S62" s="27"/>
      <c r="T62" s="27"/>
    </row>
    <row r="63" spans="1:20" x14ac:dyDescent="0.25">
      <c r="A63" s="907">
        <v>5247</v>
      </c>
      <c r="B63" s="472" t="s">
        <v>1038</v>
      </c>
      <c r="C63" s="476"/>
      <c r="D63" s="476">
        <v>0</v>
      </c>
      <c r="E63" s="468"/>
      <c r="K63" s="469">
        <f t="shared" ref="K63:K78" si="11">+M20</f>
        <v>6395</v>
      </c>
      <c r="L63" s="497">
        <f t="shared" ref="L63:L78" si="12">+O20</f>
        <v>10190</v>
      </c>
      <c r="M63" s="471">
        <f t="shared" si="9"/>
        <v>3795</v>
      </c>
      <c r="N63" s="477">
        <f t="shared" si="10"/>
        <v>0.59340000000000004</v>
      </c>
      <c r="O63" s="470" t="s">
        <v>1824</v>
      </c>
      <c r="P63" s="471"/>
      <c r="Q63" s="23"/>
      <c r="R63" s="27"/>
      <c r="S63" s="27"/>
      <c r="T63" s="27"/>
    </row>
    <row r="64" spans="1:20" x14ac:dyDescent="0.25">
      <c r="A64" s="907">
        <v>5248</v>
      </c>
      <c r="B64" s="472" t="s">
        <v>138</v>
      </c>
      <c r="C64" s="476">
        <v>800</v>
      </c>
      <c r="D64" s="476">
        <v>0</v>
      </c>
      <c r="E64" s="476"/>
      <c r="K64" s="469">
        <f t="shared" si="11"/>
        <v>500</v>
      </c>
      <c r="L64" s="497">
        <f t="shared" si="12"/>
        <v>500</v>
      </c>
      <c r="M64" s="471">
        <f t="shared" si="9"/>
        <v>0</v>
      </c>
      <c r="N64" s="477" t="str">
        <f t="shared" si="10"/>
        <v/>
      </c>
      <c r="O64" s="470" t="s">
        <v>1845</v>
      </c>
      <c r="P64" s="471"/>
      <c r="Q64" s="23"/>
      <c r="R64" s="27"/>
      <c r="S64" s="27"/>
      <c r="T64" s="27"/>
    </row>
    <row r="65" spans="1:20" x14ac:dyDescent="0.25">
      <c r="A65" s="907">
        <v>5279</v>
      </c>
      <c r="B65" s="472" t="s">
        <v>131</v>
      </c>
      <c r="C65" s="476">
        <v>950</v>
      </c>
      <c r="D65" s="476">
        <v>175</v>
      </c>
      <c r="E65" s="476"/>
      <c r="K65" s="469">
        <f t="shared" si="11"/>
        <v>0</v>
      </c>
      <c r="L65" s="497">
        <f t="shared" si="12"/>
        <v>0</v>
      </c>
      <c r="M65" s="471">
        <f t="shared" si="9"/>
        <v>0</v>
      </c>
      <c r="N65" s="477" t="str">
        <f t="shared" si="10"/>
        <v/>
      </c>
      <c r="O65" s="470"/>
      <c r="P65" s="471"/>
      <c r="Q65" s="23"/>
      <c r="R65" s="27"/>
      <c r="S65" s="27"/>
      <c r="T65" s="27"/>
    </row>
    <row r="66" spans="1:20" x14ac:dyDescent="0.25">
      <c r="A66" s="907">
        <v>5305</v>
      </c>
      <c r="B66" s="472" t="s">
        <v>148</v>
      </c>
      <c r="C66" s="476">
        <f>2221.2+3364.97</f>
        <v>5586.17</v>
      </c>
      <c r="D66" s="476">
        <v>4208.42</v>
      </c>
      <c r="E66" s="476"/>
      <c r="K66" s="469">
        <f t="shared" si="11"/>
        <v>4500</v>
      </c>
      <c r="L66" s="497">
        <f t="shared" si="12"/>
        <v>7000</v>
      </c>
      <c r="M66" s="471">
        <f t="shared" si="9"/>
        <v>2500</v>
      </c>
      <c r="N66" s="477">
        <f t="shared" si="10"/>
        <v>0.55559999999999998</v>
      </c>
      <c r="O66" s="470" t="s">
        <v>1846</v>
      </c>
      <c r="P66" s="471"/>
      <c r="Q66" s="23"/>
      <c r="R66" s="27"/>
      <c r="S66" s="27"/>
      <c r="T66" s="27"/>
    </row>
    <row r="67" spans="1:20" x14ac:dyDescent="0.25">
      <c r="A67" s="907">
        <v>5314</v>
      </c>
      <c r="B67" s="472" t="s">
        <v>139</v>
      </c>
      <c r="C67" s="476"/>
      <c r="D67" s="476">
        <v>88</v>
      </c>
      <c r="E67" s="476"/>
      <c r="K67" s="469">
        <f t="shared" si="11"/>
        <v>300</v>
      </c>
      <c r="L67" s="497">
        <f t="shared" si="12"/>
        <v>300</v>
      </c>
      <c r="M67" s="471">
        <f t="shared" si="9"/>
        <v>0</v>
      </c>
      <c r="N67" s="477" t="str">
        <f t="shared" si="10"/>
        <v/>
      </c>
      <c r="O67" s="470"/>
      <c r="P67" s="471"/>
      <c r="Q67" s="23"/>
      <c r="R67" s="27"/>
      <c r="S67" s="27"/>
      <c r="T67" s="27"/>
    </row>
    <row r="68" spans="1:20" x14ac:dyDescent="0.25">
      <c r="A68" s="907">
        <v>5315</v>
      </c>
      <c r="B68" s="472" t="s">
        <v>140</v>
      </c>
      <c r="C68" s="476"/>
      <c r="D68" s="476"/>
      <c r="E68" s="476"/>
      <c r="K68" s="469">
        <f t="shared" si="11"/>
        <v>3600</v>
      </c>
      <c r="L68" s="497">
        <f t="shared" si="12"/>
        <v>6700</v>
      </c>
      <c r="M68" s="471">
        <f t="shared" si="9"/>
        <v>3100</v>
      </c>
      <c r="N68" s="477">
        <f t="shared" si="10"/>
        <v>0.86109999999999998</v>
      </c>
      <c r="O68" s="470" t="s">
        <v>1825</v>
      </c>
      <c r="P68" s="471"/>
      <c r="Q68" s="23"/>
      <c r="R68" s="27"/>
      <c r="S68" s="27"/>
      <c r="T68" s="27"/>
    </row>
    <row r="69" spans="1:20" hidden="1" x14ac:dyDescent="0.25">
      <c r="A69" s="907">
        <v>5341</v>
      </c>
      <c r="B69" s="472" t="s">
        <v>141</v>
      </c>
      <c r="C69" s="476">
        <v>244.76</v>
      </c>
      <c r="D69" s="476">
        <v>223.51</v>
      </c>
      <c r="E69" s="476"/>
      <c r="K69" s="469">
        <f t="shared" si="11"/>
        <v>0</v>
      </c>
      <c r="L69" s="497">
        <f t="shared" si="12"/>
        <v>0</v>
      </c>
      <c r="M69" s="471">
        <f t="shared" si="9"/>
        <v>0</v>
      </c>
      <c r="N69" s="477" t="str">
        <f t="shared" si="10"/>
        <v/>
      </c>
      <c r="O69" s="470"/>
      <c r="P69" s="471"/>
      <c r="Q69" s="23"/>
      <c r="R69" s="27"/>
      <c r="S69" s="27"/>
      <c r="T69" s="27"/>
    </row>
    <row r="70" spans="1:20" x14ac:dyDescent="0.25">
      <c r="A70" s="907">
        <v>5344</v>
      </c>
      <c r="B70" s="472" t="s">
        <v>142</v>
      </c>
      <c r="C70" s="476">
        <v>3108.8</v>
      </c>
      <c r="D70" s="476">
        <v>1606.46</v>
      </c>
      <c r="E70" s="476"/>
      <c r="K70" s="469">
        <f t="shared" si="11"/>
        <v>3850</v>
      </c>
      <c r="L70" s="497">
        <f t="shared" si="12"/>
        <v>5850</v>
      </c>
      <c r="M70" s="471">
        <f t="shared" si="9"/>
        <v>2000</v>
      </c>
      <c r="N70" s="477">
        <f t="shared" si="10"/>
        <v>0.51949999999999996</v>
      </c>
      <c r="O70" s="470" t="s">
        <v>1847</v>
      </c>
      <c r="P70" s="471"/>
      <c r="Q70" s="23"/>
      <c r="R70" s="27"/>
      <c r="S70" s="27"/>
      <c r="T70" s="27"/>
    </row>
    <row r="71" spans="1:20" x14ac:dyDescent="0.25">
      <c r="A71" s="907">
        <v>5345</v>
      </c>
      <c r="B71" s="472" t="s">
        <v>1327</v>
      </c>
      <c r="C71" s="468"/>
      <c r="D71" s="468"/>
      <c r="E71" s="468"/>
      <c r="K71" s="469">
        <f t="shared" si="11"/>
        <v>100</v>
      </c>
      <c r="L71" s="497">
        <f t="shared" si="12"/>
        <v>100</v>
      </c>
      <c r="M71" s="471">
        <f t="shared" si="9"/>
        <v>0</v>
      </c>
      <c r="N71" s="477"/>
      <c r="O71" s="470"/>
      <c r="P71" s="471"/>
      <c r="Q71" s="23"/>
      <c r="R71" s="27"/>
      <c r="S71" s="27"/>
      <c r="T71" s="27"/>
    </row>
    <row r="72" spans="1:20" x14ac:dyDescent="0.25">
      <c r="A72" s="907">
        <v>5420</v>
      </c>
      <c r="B72" s="472" t="s">
        <v>144</v>
      </c>
      <c r="C72" s="468">
        <v>1490.81</v>
      </c>
      <c r="D72" s="468">
        <v>1184.98</v>
      </c>
      <c r="E72" s="468"/>
      <c r="K72" s="469">
        <f t="shared" si="11"/>
        <v>4000</v>
      </c>
      <c r="L72" s="497">
        <f t="shared" si="12"/>
        <v>5500</v>
      </c>
      <c r="M72" s="471">
        <f t="shared" si="9"/>
        <v>1500</v>
      </c>
      <c r="N72" s="477">
        <f t="shared" ref="N72:N78" si="13">IF(K72+L72&lt;&gt;0,IF(K72&lt;&gt;0,IF(M72&lt;&gt;0,ROUND((+M72/K72),4),""),1),"")</f>
        <v>0.375</v>
      </c>
      <c r="O72" s="470" t="s">
        <v>1848</v>
      </c>
      <c r="P72" s="471"/>
      <c r="Q72" s="23"/>
      <c r="R72" s="27"/>
      <c r="S72" s="27"/>
      <c r="T72" s="27"/>
    </row>
    <row r="73" spans="1:20" x14ac:dyDescent="0.25">
      <c r="A73" s="907">
        <v>5430</v>
      </c>
      <c r="B73" s="472" t="s">
        <v>1843</v>
      </c>
      <c r="C73" s="468"/>
      <c r="D73" s="468"/>
      <c r="E73" s="468"/>
      <c r="K73" s="469">
        <f t="shared" si="11"/>
        <v>0</v>
      </c>
      <c r="L73" s="497">
        <f t="shared" si="12"/>
        <v>1300</v>
      </c>
      <c r="M73" s="471">
        <f t="shared" ref="M73" si="14">+L73-K73</f>
        <v>1300</v>
      </c>
      <c r="N73" s="477">
        <f t="shared" ref="N73" si="15">IF(K73+L73&lt;&gt;0,IF(K73&lt;&gt;0,IF(M73&lt;&gt;0,ROUND((+M73/K73),4),""),1),"")</f>
        <v>1</v>
      </c>
      <c r="O73" s="470" t="s">
        <v>1849</v>
      </c>
      <c r="P73" s="471"/>
      <c r="Q73" s="23"/>
      <c r="R73" s="27"/>
      <c r="S73" s="27"/>
      <c r="T73" s="27"/>
    </row>
    <row r="74" spans="1:20" x14ac:dyDescent="0.25">
      <c r="A74" s="907">
        <v>5581</v>
      </c>
      <c r="B74" s="472" t="s">
        <v>146</v>
      </c>
      <c r="C74" s="468"/>
      <c r="D74" s="468">
        <v>88.4</v>
      </c>
      <c r="E74" s="468"/>
      <c r="K74" s="469">
        <f t="shared" si="11"/>
        <v>275</v>
      </c>
      <c r="L74" s="497">
        <f t="shared" si="12"/>
        <v>275</v>
      </c>
      <c r="M74" s="471">
        <f t="shared" si="9"/>
        <v>0</v>
      </c>
      <c r="N74" s="477" t="str">
        <f t="shared" si="13"/>
        <v/>
      </c>
      <c r="O74" s="470" t="s">
        <v>1850</v>
      </c>
      <c r="P74" s="471"/>
      <c r="Q74" s="23"/>
      <c r="R74" s="4"/>
      <c r="S74" s="4"/>
      <c r="T74" s="4"/>
    </row>
    <row r="75" spans="1:20" x14ac:dyDescent="0.25">
      <c r="A75" s="907">
        <v>5599</v>
      </c>
      <c r="B75" s="472" t="s">
        <v>796</v>
      </c>
      <c r="C75" s="468"/>
      <c r="D75" s="468">
        <v>1700</v>
      </c>
      <c r="E75" s="468"/>
      <c r="K75" s="469">
        <f t="shared" si="11"/>
        <v>0</v>
      </c>
      <c r="L75" s="497">
        <f t="shared" si="12"/>
        <v>0</v>
      </c>
      <c r="M75" s="471">
        <f t="shared" si="9"/>
        <v>0</v>
      </c>
      <c r="N75" s="477" t="str">
        <f t="shared" si="13"/>
        <v/>
      </c>
      <c r="O75" s="470"/>
      <c r="P75" s="471"/>
      <c r="Q75" s="23"/>
      <c r="R75" s="4"/>
      <c r="S75" s="4"/>
      <c r="T75" s="4"/>
    </row>
    <row r="76" spans="1:20" x14ac:dyDescent="0.25">
      <c r="A76" s="907">
        <v>5710</v>
      </c>
      <c r="B76" s="472" t="s">
        <v>535</v>
      </c>
      <c r="C76" s="468">
        <v>663.46</v>
      </c>
      <c r="D76" s="468">
        <v>859.2</v>
      </c>
      <c r="E76" s="468"/>
      <c r="K76" s="469">
        <f t="shared" si="11"/>
        <v>1500</v>
      </c>
      <c r="L76" s="497">
        <f t="shared" si="12"/>
        <v>2000</v>
      </c>
      <c r="M76" s="471">
        <f t="shared" si="9"/>
        <v>500</v>
      </c>
      <c r="N76" s="477">
        <f t="shared" si="13"/>
        <v>0.33329999999999999</v>
      </c>
      <c r="O76" s="470" t="s">
        <v>1826</v>
      </c>
      <c r="P76" s="471"/>
      <c r="Q76" s="23"/>
      <c r="R76" s="4"/>
      <c r="S76" s="4"/>
      <c r="T76" s="4"/>
    </row>
    <row r="77" spans="1:20" x14ac:dyDescent="0.25">
      <c r="A77" s="907">
        <v>5730</v>
      </c>
      <c r="B77" s="472" t="s">
        <v>147</v>
      </c>
      <c r="C77" s="476">
        <v>110</v>
      </c>
      <c r="D77" s="476">
        <v>110</v>
      </c>
      <c r="E77" s="476"/>
      <c r="K77" s="469">
        <f t="shared" si="11"/>
        <v>110</v>
      </c>
      <c r="L77" s="497">
        <f t="shared" si="12"/>
        <v>110</v>
      </c>
      <c r="M77" s="471">
        <f t="shared" si="9"/>
        <v>0</v>
      </c>
      <c r="N77" s="477" t="str">
        <f t="shared" si="13"/>
        <v/>
      </c>
      <c r="O77" s="470"/>
      <c r="P77" s="471"/>
      <c r="Q77" s="23"/>
      <c r="R77" s="4"/>
      <c r="S77" s="4"/>
      <c r="T77" s="4"/>
    </row>
    <row r="78" spans="1:20" ht="13.8" thickBot="1" x14ac:dyDescent="0.3">
      <c r="A78" s="907">
        <v>5740</v>
      </c>
      <c r="B78" s="472" t="s">
        <v>154</v>
      </c>
      <c r="C78" s="474">
        <v>200</v>
      </c>
      <c r="D78" s="474">
        <v>200</v>
      </c>
      <c r="E78" s="474"/>
      <c r="K78" s="469">
        <f t="shared" si="11"/>
        <v>200</v>
      </c>
      <c r="L78" s="497">
        <f t="shared" si="12"/>
        <v>200</v>
      </c>
      <c r="M78" s="471">
        <f t="shared" si="9"/>
        <v>0</v>
      </c>
      <c r="N78" s="477" t="str">
        <f t="shared" si="13"/>
        <v/>
      </c>
      <c r="O78" s="470"/>
      <c r="P78" s="471"/>
      <c r="Q78" s="23"/>
      <c r="R78" s="4"/>
      <c r="S78" s="4"/>
      <c r="T78" s="4"/>
    </row>
    <row r="79" spans="1:20" x14ac:dyDescent="0.25">
      <c r="A79" s="876"/>
      <c r="B79" s="4"/>
      <c r="C79" s="23"/>
      <c r="D79" s="23"/>
      <c r="E79" s="23"/>
      <c r="F79" s="23"/>
      <c r="G79" s="23"/>
      <c r="K79" s="23"/>
      <c r="L79" s="23"/>
      <c r="M79" s="23"/>
      <c r="N79" s="4"/>
      <c r="O79" s="23"/>
      <c r="P79" s="23"/>
      <c r="Q79" s="23"/>
      <c r="R79" s="4"/>
      <c r="S79" s="4"/>
      <c r="T79" s="4"/>
    </row>
    <row r="80" spans="1:20" x14ac:dyDescent="0.25">
      <c r="A80" s="876"/>
      <c r="B80" s="4" t="s">
        <v>1363</v>
      </c>
      <c r="C80" s="23"/>
      <c r="D80" s="23"/>
      <c r="E80" s="23"/>
      <c r="F80" s="23"/>
      <c r="G80" s="23"/>
      <c r="K80" s="742">
        <f>SUM(K57:K78)</f>
        <v>155173</v>
      </c>
      <c r="L80" s="742">
        <f>SUM(L57:L78)</f>
        <v>192153</v>
      </c>
      <c r="M80" s="202">
        <f>+L80-K80</f>
        <v>36980</v>
      </c>
      <c r="N80" s="743">
        <f>IF(K80+L80&lt;&gt;0,IF(K80&lt;&gt;0,IF(M80&lt;&gt;0,ROUND((+M80/K80),4),""),1),"")</f>
        <v>0.23830000000000001</v>
      </c>
      <c r="O80" s="23"/>
      <c r="P80" s="23"/>
      <c r="Q80" s="23"/>
      <c r="R80" s="4"/>
      <c r="S80" s="4"/>
      <c r="T80" s="4"/>
    </row>
    <row r="81" spans="1:20" x14ac:dyDescent="0.25">
      <c r="A81" s="876"/>
      <c r="B81" s="4"/>
      <c r="C81" s="23"/>
      <c r="D81" s="23"/>
      <c r="E81" s="23"/>
      <c r="F81" s="23"/>
      <c r="G81" s="23"/>
      <c r="H81" s="23"/>
      <c r="I81" s="23"/>
      <c r="J81" s="23"/>
      <c r="K81" s="23"/>
      <c r="L81" s="23"/>
      <c r="M81" s="23"/>
      <c r="N81" s="4"/>
      <c r="O81" s="23"/>
      <c r="P81" s="23"/>
      <c r="Q81" s="23"/>
      <c r="R81" s="4"/>
      <c r="S81" s="4"/>
      <c r="T81" s="4"/>
    </row>
    <row r="82" spans="1:20" x14ac:dyDescent="0.25">
      <c r="A82" s="876"/>
      <c r="B82" s="4"/>
      <c r="C82" s="23"/>
      <c r="D82" s="23"/>
      <c r="E82" s="23"/>
      <c r="F82" s="23"/>
      <c r="G82" s="23"/>
      <c r="H82" s="23"/>
      <c r="I82" s="23"/>
      <c r="J82" s="23"/>
      <c r="K82" s="23"/>
      <c r="L82" s="23"/>
      <c r="M82" s="23"/>
      <c r="N82" s="4"/>
      <c r="O82" s="23"/>
      <c r="P82" s="23"/>
      <c r="Q82" s="23"/>
      <c r="R82" s="4"/>
      <c r="S82" s="4"/>
      <c r="T82" s="4"/>
    </row>
    <row r="83" spans="1:20" x14ac:dyDescent="0.25">
      <c r="A83" s="876"/>
      <c r="B83" s="4"/>
      <c r="C83" s="23"/>
      <c r="D83" s="23"/>
      <c r="E83" s="23"/>
      <c r="F83" s="23"/>
      <c r="G83" s="23"/>
      <c r="H83" s="23"/>
      <c r="I83" s="23"/>
      <c r="J83" s="23"/>
      <c r="K83" s="23"/>
      <c r="L83" s="23"/>
      <c r="M83" s="23"/>
      <c r="N83" s="4"/>
      <c r="O83" s="23"/>
      <c r="P83" s="23"/>
      <c r="Q83" s="23"/>
      <c r="R83" s="4"/>
      <c r="S83" s="4"/>
      <c r="T83" s="4"/>
    </row>
    <row r="84" spans="1:20" x14ac:dyDescent="0.25">
      <c r="A84" s="876"/>
      <c r="B84" s="4"/>
      <c r="C84" s="23"/>
      <c r="D84" s="23"/>
      <c r="E84" s="23"/>
      <c r="F84" s="23"/>
      <c r="G84" s="23"/>
      <c r="H84" s="23"/>
      <c r="I84" s="23"/>
      <c r="J84" s="23"/>
      <c r="K84" s="23"/>
      <c r="L84" s="23"/>
      <c r="M84" s="23"/>
      <c r="N84" s="4"/>
      <c r="O84" s="23"/>
      <c r="P84" s="23"/>
      <c r="Q84" s="23"/>
      <c r="R84" s="4"/>
      <c r="S84" s="4"/>
      <c r="T84" s="4"/>
    </row>
    <row r="85" spans="1:20" x14ac:dyDescent="0.25">
      <c r="A85" s="876"/>
      <c r="B85" s="4"/>
      <c r="C85" s="23"/>
      <c r="D85" s="23"/>
      <c r="E85" s="23"/>
      <c r="F85" s="23"/>
      <c r="G85" s="23"/>
      <c r="H85" s="23"/>
      <c r="I85" s="23"/>
      <c r="J85" s="23"/>
      <c r="K85" s="23"/>
      <c r="L85" s="23"/>
      <c r="M85" s="23"/>
      <c r="N85" s="4"/>
      <c r="O85" s="23"/>
      <c r="P85" s="23"/>
      <c r="Q85" s="23"/>
      <c r="R85" s="4"/>
      <c r="S85" s="4"/>
      <c r="T85" s="4"/>
    </row>
    <row r="86" spans="1:20" x14ac:dyDescent="0.25">
      <c r="A86" s="876"/>
      <c r="B86" s="4"/>
      <c r="C86" s="23"/>
      <c r="D86" s="23"/>
      <c r="E86" s="23"/>
      <c r="F86" s="23"/>
      <c r="G86" s="23"/>
      <c r="H86" s="23"/>
      <c r="I86" s="23"/>
      <c r="J86" s="23"/>
      <c r="K86" s="23"/>
      <c r="L86" s="23"/>
      <c r="M86" s="23"/>
      <c r="N86" s="4"/>
      <c r="O86" s="23"/>
      <c r="P86" s="23"/>
      <c r="Q86" s="23"/>
      <c r="R86" s="4"/>
      <c r="S86" s="4"/>
      <c r="T86" s="4"/>
    </row>
    <row r="87" spans="1:20" x14ac:dyDescent="0.25">
      <c r="A87" s="876"/>
      <c r="B87" s="4"/>
      <c r="C87" s="23"/>
      <c r="D87" s="23"/>
      <c r="E87" s="23"/>
      <c r="F87" s="23"/>
      <c r="G87" s="23"/>
      <c r="H87" s="23"/>
      <c r="I87" s="23"/>
      <c r="J87" s="23"/>
      <c r="K87" s="23"/>
      <c r="L87" s="23"/>
      <c r="M87" s="23"/>
      <c r="N87" s="4"/>
      <c r="O87" s="23"/>
      <c r="P87" s="23"/>
      <c r="Q87" s="23"/>
      <c r="R87" s="4"/>
      <c r="S87" s="4"/>
      <c r="T87" s="4"/>
    </row>
    <row r="88" spans="1:20" x14ac:dyDescent="0.25">
      <c r="A88" s="876"/>
      <c r="B88" s="4"/>
      <c r="C88" s="23"/>
      <c r="D88" s="23"/>
      <c r="E88" s="23"/>
      <c r="F88" s="23"/>
      <c r="G88" s="23"/>
      <c r="H88" s="23"/>
      <c r="I88" s="23"/>
      <c r="J88" s="23"/>
      <c r="K88" s="23"/>
      <c r="L88" s="23"/>
      <c r="M88" s="23"/>
      <c r="N88" s="4"/>
      <c r="O88" s="23"/>
      <c r="P88" s="23"/>
      <c r="Q88" s="23"/>
      <c r="R88" s="4"/>
      <c r="S88" s="4"/>
      <c r="T88" s="4"/>
    </row>
    <row r="89" spans="1:20" x14ac:dyDescent="0.25">
      <c r="A89" s="876"/>
      <c r="B89" s="4"/>
      <c r="C89" s="23"/>
      <c r="D89" s="23"/>
      <c r="E89" s="23"/>
      <c r="F89" s="23"/>
      <c r="G89" s="23"/>
      <c r="H89" s="23"/>
      <c r="I89" s="23"/>
      <c r="J89" s="23"/>
      <c r="K89" s="23"/>
      <c r="L89" s="23"/>
      <c r="M89" s="23"/>
      <c r="N89" s="4"/>
      <c r="O89" s="23"/>
      <c r="P89" s="23"/>
      <c r="Q89" s="23"/>
      <c r="R89" s="4"/>
      <c r="S89" s="4"/>
      <c r="T89" s="4"/>
    </row>
    <row r="90" spans="1:20" x14ac:dyDescent="0.25">
      <c r="A90" s="876"/>
      <c r="B90" s="4"/>
      <c r="C90" s="23"/>
      <c r="D90" s="23"/>
      <c r="E90" s="23"/>
      <c r="F90" s="23"/>
      <c r="G90" s="23"/>
      <c r="H90" s="23"/>
      <c r="I90" s="23"/>
      <c r="J90" s="23"/>
      <c r="K90" s="23"/>
      <c r="L90" s="23"/>
      <c r="M90" s="23"/>
      <c r="N90" s="4"/>
      <c r="O90" s="23"/>
      <c r="P90" s="23"/>
      <c r="Q90" s="23"/>
      <c r="R90" s="4"/>
      <c r="S90" s="4"/>
      <c r="T90" s="4"/>
    </row>
    <row r="91" spans="1:20" x14ac:dyDescent="0.25">
      <c r="A91" s="876"/>
      <c r="B91" s="4"/>
      <c r="C91" s="23"/>
      <c r="D91" s="23"/>
      <c r="E91" s="23"/>
      <c r="F91" s="23"/>
      <c r="G91" s="23"/>
      <c r="H91" s="23"/>
      <c r="I91" s="23"/>
      <c r="J91" s="23"/>
      <c r="K91" s="23"/>
      <c r="L91" s="23"/>
      <c r="M91" s="23"/>
      <c r="N91" s="4"/>
      <c r="O91" s="23"/>
      <c r="P91" s="23"/>
      <c r="Q91" s="23"/>
      <c r="R91" s="4"/>
      <c r="S91" s="4"/>
      <c r="T91" s="4"/>
    </row>
    <row r="92" spans="1:20" x14ac:dyDescent="0.25">
      <c r="A92" s="876"/>
      <c r="B92" s="4"/>
      <c r="C92" s="23"/>
      <c r="D92" s="23"/>
      <c r="E92" s="23"/>
      <c r="F92" s="23"/>
      <c r="G92" s="23"/>
      <c r="H92" s="23"/>
      <c r="I92" s="23"/>
      <c r="J92" s="23"/>
      <c r="K92" s="23"/>
      <c r="L92" s="23"/>
      <c r="M92" s="23"/>
      <c r="N92" s="4"/>
      <c r="O92" s="23"/>
      <c r="P92" s="23"/>
      <c r="Q92" s="23"/>
      <c r="R92" s="4"/>
      <c r="S92" s="4"/>
      <c r="T92" s="4"/>
    </row>
    <row r="93" spans="1:20" x14ac:dyDescent="0.25">
      <c r="A93" s="876"/>
      <c r="B93" s="4"/>
      <c r="C93" s="23"/>
      <c r="D93" s="23"/>
      <c r="E93" s="23"/>
      <c r="F93" s="23"/>
      <c r="G93" s="23"/>
      <c r="H93" s="23"/>
      <c r="I93" s="23"/>
      <c r="J93" s="23"/>
      <c r="K93" s="23"/>
      <c r="L93" s="23"/>
      <c r="M93" s="23"/>
      <c r="N93" s="4"/>
      <c r="O93" s="23"/>
      <c r="P93" s="23"/>
      <c r="Q93" s="23"/>
      <c r="R93" s="4"/>
      <c r="S93" s="4"/>
      <c r="T93" s="4"/>
    </row>
    <row r="94" spans="1:20" x14ac:dyDescent="0.25">
      <c r="A94" s="876"/>
      <c r="B94" s="4"/>
      <c r="C94" s="23"/>
      <c r="D94" s="23"/>
      <c r="E94" s="23"/>
      <c r="F94" s="23"/>
      <c r="G94" s="23"/>
      <c r="H94" s="23"/>
      <c r="I94" s="23"/>
      <c r="J94" s="23"/>
      <c r="K94" s="23"/>
      <c r="L94" s="23"/>
      <c r="M94" s="23"/>
      <c r="N94" s="4"/>
      <c r="O94" s="23"/>
      <c r="P94" s="23"/>
      <c r="Q94" s="23"/>
      <c r="R94" s="4"/>
      <c r="S94" s="4"/>
      <c r="T94" s="4"/>
    </row>
    <row r="95" spans="1:20" x14ac:dyDescent="0.25">
      <c r="A95" s="876"/>
      <c r="B95" s="4"/>
      <c r="C95" s="23"/>
      <c r="D95" s="23"/>
      <c r="E95" s="23"/>
      <c r="F95" s="23"/>
      <c r="G95" s="23"/>
      <c r="H95" s="23"/>
      <c r="I95" s="23"/>
      <c r="J95" s="23"/>
      <c r="K95" s="23"/>
      <c r="L95" s="23"/>
      <c r="M95" s="23"/>
      <c r="N95" s="4"/>
      <c r="O95" s="23"/>
      <c r="P95" s="23"/>
      <c r="Q95" s="23"/>
      <c r="R95" s="4"/>
      <c r="S95" s="4"/>
      <c r="T95" s="4"/>
    </row>
    <row r="96" spans="1:20" x14ac:dyDescent="0.25">
      <c r="A96" s="876"/>
      <c r="B96" s="4"/>
      <c r="C96" s="23"/>
      <c r="D96" s="23"/>
      <c r="E96" s="23"/>
      <c r="F96" s="23"/>
      <c r="G96" s="23"/>
      <c r="H96" s="23"/>
      <c r="I96" s="23"/>
      <c r="J96" s="23"/>
      <c r="K96" s="23"/>
      <c r="L96" s="23"/>
      <c r="M96" s="23"/>
      <c r="N96" s="4"/>
      <c r="O96" s="23"/>
      <c r="P96" s="23"/>
      <c r="Q96" s="23"/>
      <c r="R96" s="4"/>
      <c r="S96" s="4"/>
      <c r="T96" s="4"/>
    </row>
    <row r="97" spans="1:20" x14ac:dyDescent="0.25">
      <c r="A97" s="876"/>
      <c r="B97" s="4"/>
      <c r="C97" s="23"/>
      <c r="D97" s="23"/>
      <c r="E97" s="23"/>
      <c r="F97" s="23"/>
      <c r="G97" s="23"/>
      <c r="H97" s="23"/>
      <c r="I97" s="23"/>
      <c r="J97" s="23"/>
      <c r="K97" s="23"/>
      <c r="L97" s="23"/>
      <c r="M97" s="23"/>
      <c r="N97" s="4"/>
      <c r="O97" s="23"/>
      <c r="P97" s="23"/>
      <c r="Q97" s="23"/>
      <c r="R97" s="4"/>
      <c r="S97" s="4"/>
      <c r="T97" s="4"/>
    </row>
    <row r="98" spans="1:20" x14ac:dyDescent="0.25">
      <c r="A98" s="876"/>
      <c r="B98" s="4"/>
      <c r="C98" s="23"/>
      <c r="D98" s="23"/>
      <c r="E98" s="23"/>
      <c r="F98" s="23"/>
      <c r="G98" s="23"/>
      <c r="H98" s="23"/>
      <c r="I98" s="23"/>
      <c r="J98" s="23"/>
      <c r="K98" s="23"/>
      <c r="L98" s="23"/>
      <c r="M98" s="23"/>
      <c r="N98" s="4"/>
      <c r="O98" s="23"/>
      <c r="P98" s="23"/>
      <c r="Q98" s="23"/>
      <c r="R98" s="4"/>
      <c r="S98" s="4"/>
      <c r="T98" s="4"/>
    </row>
    <row r="99" spans="1:20" x14ac:dyDescent="0.25">
      <c r="A99" s="876"/>
      <c r="B99" s="4"/>
      <c r="C99" s="23"/>
      <c r="D99" s="23"/>
      <c r="E99" s="23"/>
      <c r="F99" s="23"/>
      <c r="G99" s="23"/>
      <c r="H99" s="23"/>
      <c r="I99" s="23"/>
      <c r="J99" s="23"/>
      <c r="K99" s="23"/>
      <c r="L99" s="23"/>
      <c r="M99" s="23"/>
      <c r="N99" s="4"/>
      <c r="O99" s="23"/>
      <c r="P99" s="23"/>
      <c r="Q99" s="23"/>
      <c r="R99" s="4"/>
      <c r="S99" s="4"/>
      <c r="T99" s="4"/>
    </row>
    <row r="100" spans="1:20" x14ac:dyDescent="0.25">
      <c r="A100" s="876"/>
      <c r="B100" s="4"/>
      <c r="C100" s="23"/>
      <c r="D100" s="23"/>
      <c r="E100" s="23"/>
      <c r="F100" s="23"/>
      <c r="G100" s="23"/>
      <c r="H100" s="23"/>
      <c r="I100" s="23"/>
      <c r="J100" s="23"/>
      <c r="K100" s="23"/>
      <c r="L100" s="23"/>
      <c r="M100" s="23"/>
      <c r="N100" s="4"/>
      <c r="O100" s="23"/>
      <c r="P100" s="23"/>
      <c r="Q100" s="23"/>
      <c r="R100" s="4"/>
      <c r="S100" s="4"/>
      <c r="T100" s="4"/>
    </row>
    <row r="101" spans="1:20" x14ac:dyDescent="0.25">
      <c r="A101" s="876"/>
      <c r="B101" s="4"/>
      <c r="C101" s="23"/>
      <c r="D101" s="23"/>
      <c r="E101" s="23"/>
      <c r="F101" s="23"/>
      <c r="G101" s="23"/>
      <c r="H101" s="23"/>
      <c r="I101" s="23"/>
      <c r="J101" s="23"/>
      <c r="K101" s="23"/>
      <c r="L101" s="23"/>
      <c r="M101" s="23"/>
      <c r="N101" s="4"/>
      <c r="O101" s="23"/>
      <c r="P101" s="23"/>
      <c r="Q101" s="23"/>
      <c r="R101" s="4"/>
      <c r="S101" s="4"/>
      <c r="T101" s="4"/>
    </row>
    <row r="102" spans="1:20" x14ac:dyDescent="0.25">
      <c r="A102" s="876"/>
      <c r="B102" s="4"/>
      <c r="C102" s="23"/>
      <c r="D102" s="23"/>
      <c r="E102" s="23"/>
      <c r="F102" s="23"/>
      <c r="G102" s="23"/>
      <c r="H102" s="23"/>
      <c r="I102" s="23"/>
      <c r="J102" s="23"/>
      <c r="K102" s="23"/>
      <c r="L102" s="23"/>
      <c r="M102" s="23"/>
      <c r="N102" s="4"/>
      <c r="O102" s="23"/>
      <c r="P102" s="23"/>
      <c r="Q102" s="23"/>
      <c r="R102" s="4"/>
      <c r="S102" s="4"/>
      <c r="T102" s="4"/>
    </row>
    <row r="103" spans="1:20" x14ac:dyDescent="0.25">
      <c r="A103" s="876"/>
      <c r="B103" s="4"/>
      <c r="C103" s="23"/>
      <c r="D103" s="23"/>
      <c r="E103" s="23"/>
      <c r="F103" s="23"/>
      <c r="G103" s="23"/>
      <c r="H103" s="23"/>
      <c r="I103" s="23"/>
      <c r="J103" s="23"/>
      <c r="K103" s="23"/>
      <c r="L103" s="23"/>
      <c r="M103" s="23"/>
      <c r="N103" s="4"/>
      <c r="O103" s="23"/>
      <c r="P103" s="23"/>
      <c r="Q103" s="23"/>
      <c r="R103" s="4"/>
      <c r="S103" s="4"/>
      <c r="T103" s="4"/>
    </row>
    <row r="104" spans="1:20" x14ac:dyDescent="0.25">
      <c r="A104" s="876"/>
      <c r="B104" s="4"/>
      <c r="C104" s="23"/>
      <c r="D104" s="23"/>
      <c r="E104" s="23"/>
      <c r="F104" s="23"/>
      <c r="G104" s="23"/>
      <c r="H104" s="23"/>
      <c r="I104" s="23"/>
      <c r="J104" s="23"/>
      <c r="K104" s="23"/>
      <c r="L104" s="23"/>
      <c r="M104" s="23"/>
      <c r="N104" s="4"/>
      <c r="O104" s="23"/>
      <c r="P104" s="23"/>
      <c r="Q104" s="23"/>
      <c r="R104" s="4"/>
      <c r="S104" s="4"/>
      <c r="T104" s="4"/>
    </row>
    <row r="105" spans="1:20" x14ac:dyDescent="0.25">
      <c r="A105" s="876"/>
      <c r="B105" s="4"/>
      <c r="C105" s="23"/>
      <c r="D105" s="23"/>
      <c r="E105" s="23"/>
      <c r="F105" s="23"/>
      <c r="G105" s="23"/>
      <c r="H105" s="23"/>
      <c r="I105" s="23"/>
      <c r="J105" s="23"/>
      <c r="K105" s="23"/>
      <c r="L105" s="23"/>
      <c r="M105" s="23"/>
      <c r="N105" s="4"/>
      <c r="O105" s="23"/>
      <c r="P105" s="23"/>
      <c r="Q105" s="23"/>
      <c r="R105" s="4"/>
      <c r="S105" s="4"/>
      <c r="T105" s="4"/>
    </row>
    <row r="106" spans="1:20" x14ac:dyDescent="0.25">
      <c r="A106" s="876"/>
      <c r="B106" s="4"/>
      <c r="C106" s="23"/>
      <c r="D106" s="23"/>
      <c r="E106" s="23"/>
      <c r="F106" s="23"/>
      <c r="G106" s="23"/>
      <c r="H106" s="23"/>
      <c r="I106" s="23"/>
      <c r="J106" s="23"/>
      <c r="K106" s="23"/>
      <c r="L106" s="23"/>
      <c r="M106" s="23"/>
      <c r="N106" s="4"/>
      <c r="O106" s="23"/>
      <c r="P106" s="23"/>
      <c r="Q106" s="23"/>
      <c r="R106" s="4"/>
      <c r="S106" s="4"/>
      <c r="T106" s="4"/>
    </row>
    <row r="107" spans="1:20" x14ac:dyDescent="0.25">
      <c r="A107" s="876"/>
      <c r="B107" s="4"/>
      <c r="C107" s="23"/>
      <c r="D107" s="23"/>
      <c r="E107" s="23"/>
      <c r="F107" s="23"/>
      <c r="G107" s="23"/>
      <c r="H107" s="23"/>
      <c r="I107" s="23"/>
      <c r="J107" s="23"/>
      <c r="K107" s="23"/>
      <c r="L107" s="23"/>
      <c r="M107" s="23"/>
      <c r="N107" s="4"/>
      <c r="O107" s="23"/>
      <c r="P107" s="23"/>
      <c r="Q107" s="23"/>
      <c r="R107" s="4"/>
      <c r="S107" s="4"/>
      <c r="T107" s="4"/>
    </row>
    <row r="108" spans="1:20" x14ac:dyDescent="0.25">
      <c r="A108" s="876"/>
      <c r="B108" s="4"/>
      <c r="C108" s="23"/>
      <c r="D108" s="23"/>
      <c r="E108" s="23"/>
      <c r="F108" s="23"/>
      <c r="G108" s="23"/>
      <c r="H108" s="23"/>
      <c r="I108" s="23"/>
      <c r="J108" s="23"/>
      <c r="K108" s="23"/>
      <c r="L108" s="23"/>
      <c r="M108" s="23"/>
      <c r="N108" s="4"/>
      <c r="O108" s="23"/>
      <c r="P108" s="23"/>
      <c r="Q108" s="23"/>
      <c r="R108" s="4"/>
      <c r="S108" s="4"/>
      <c r="T108" s="4"/>
    </row>
    <row r="109" spans="1:20" x14ac:dyDescent="0.25">
      <c r="A109" s="876"/>
      <c r="B109" s="4"/>
      <c r="C109" s="23"/>
      <c r="D109" s="23"/>
      <c r="E109" s="23"/>
      <c r="F109" s="23"/>
      <c r="G109" s="23"/>
      <c r="H109" s="23"/>
      <c r="I109" s="23"/>
      <c r="J109" s="23"/>
      <c r="K109" s="23"/>
      <c r="L109" s="23"/>
      <c r="M109" s="23"/>
      <c r="N109" s="4"/>
      <c r="O109" s="23"/>
      <c r="P109" s="23"/>
      <c r="Q109" s="23"/>
      <c r="R109" s="4"/>
      <c r="S109" s="4"/>
      <c r="T109" s="4"/>
    </row>
    <row r="110" spans="1:20" x14ac:dyDescent="0.25">
      <c r="A110" s="876"/>
      <c r="B110" s="4"/>
      <c r="C110" s="23"/>
      <c r="D110" s="23"/>
      <c r="E110" s="23"/>
      <c r="F110" s="23"/>
      <c r="G110" s="23"/>
      <c r="H110" s="23"/>
      <c r="I110" s="23"/>
      <c r="J110" s="23"/>
      <c r="K110" s="23"/>
      <c r="L110" s="23"/>
      <c r="M110" s="23"/>
      <c r="N110" s="4"/>
      <c r="O110" s="23"/>
      <c r="P110" s="23"/>
      <c r="Q110" s="23"/>
      <c r="R110" s="4"/>
      <c r="S110" s="4"/>
      <c r="T110" s="4"/>
    </row>
    <row r="111" spans="1:20" x14ac:dyDescent="0.25">
      <c r="A111" s="876"/>
      <c r="B111" s="4"/>
      <c r="C111" s="23"/>
      <c r="D111" s="23"/>
      <c r="E111" s="23"/>
      <c r="F111" s="23"/>
      <c r="G111" s="23"/>
      <c r="H111" s="23"/>
      <c r="I111" s="23"/>
      <c r="J111" s="23"/>
      <c r="K111" s="23"/>
      <c r="L111" s="23"/>
      <c r="M111" s="23"/>
      <c r="N111" s="4"/>
      <c r="O111" s="23"/>
      <c r="P111" s="23"/>
      <c r="Q111" s="23"/>
      <c r="R111" s="4"/>
      <c r="S111" s="4"/>
      <c r="T111" s="4"/>
    </row>
    <row r="112" spans="1:20" x14ac:dyDescent="0.25">
      <c r="A112" s="876"/>
      <c r="B112" s="4"/>
      <c r="C112" s="23"/>
      <c r="D112" s="23"/>
      <c r="E112" s="23"/>
      <c r="F112" s="23"/>
      <c r="G112" s="23"/>
      <c r="H112" s="23"/>
      <c r="I112" s="23"/>
      <c r="J112" s="23"/>
      <c r="K112" s="23"/>
      <c r="L112" s="23"/>
      <c r="M112" s="23"/>
      <c r="N112" s="4"/>
      <c r="O112" s="23"/>
      <c r="P112" s="23"/>
      <c r="Q112" s="23"/>
      <c r="R112" s="4"/>
      <c r="S112" s="4"/>
      <c r="T112" s="4"/>
    </row>
    <row r="113" spans="1:20" x14ac:dyDescent="0.25">
      <c r="A113" s="876"/>
      <c r="B113" s="4"/>
      <c r="C113" s="23"/>
      <c r="D113" s="23"/>
      <c r="E113" s="23"/>
      <c r="F113" s="23"/>
      <c r="G113" s="23"/>
      <c r="H113" s="23"/>
      <c r="I113" s="23"/>
      <c r="J113" s="23"/>
      <c r="K113" s="23"/>
      <c r="L113" s="23"/>
      <c r="M113" s="23"/>
      <c r="N113" s="4"/>
      <c r="O113" s="23"/>
      <c r="P113" s="23"/>
      <c r="Q113" s="23"/>
      <c r="R113" s="4"/>
      <c r="S113" s="4"/>
      <c r="T113" s="4"/>
    </row>
    <row r="114" spans="1:20" x14ac:dyDescent="0.25">
      <c r="A114" s="876"/>
      <c r="B114" s="4"/>
      <c r="C114" s="23"/>
      <c r="D114" s="23"/>
      <c r="E114" s="23"/>
      <c r="F114" s="23"/>
      <c r="G114" s="23"/>
      <c r="H114" s="23"/>
      <c r="I114" s="23"/>
      <c r="J114" s="23"/>
      <c r="K114" s="23"/>
      <c r="L114" s="23"/>
      <c r="M114" s="23"/>
      <c r="N114" s="4"/>
      <c r="O114" s="23"/>
      <c r="P114" s="23"/>
      <c r="Q114" s="23"/>
      <c r="R114" s="4"/>
      <c r="S114" s="4"/>
      <c r="T114" s="4"/>
    </row>
    <row r="115" spans="1:20" x14ac:dyDescent="0.25">
      <c r="A115" s="876"/>
      <c r="B115" s="4"/>
      <c r="C115" s="23"/>
      <c r="D115" s="23"/>
      <c r="E115" s="23"/>
      <c r="F115" s="23"/>
      <c r="G115" s="23"/>
      <c r="H115" s="23"/>
      <c r="I115" s="23"/>
      <c r="J115" s="23"/>
      <c r="K115" s="23"/>
      <c r="L115" s="23"/>
      <c r="M115" s="23"/>
      <c r="N115" s="4"/>
      <c r="O115" s="23"/>
      <c r="P115" s="23"/>
      <c r="Q115" s="23"/>
      <c r="R115" s="4"/>
      <c r="S115" s="4"/>
      <c r="T115" s="4"/>
    </row>
    <row r="116" spans="1:20" x14ac:dyDescent="0.25">
      <c r="A116" s="876"/>
      <c r="B116" s="4"/>
      <c r="C116" s="23"/>
      <c r="D116" s="23"/>
      <c r="E116" s="23"/>
      <c r="F116" s="23"/>
      <c r="G116" s="23"/>
      <c r="H116" s="23"/>
      <c r="I116" s="23"/>
      <c r="J116" s="23"/>
      <c r="K116" s="23"/>
      <c r="L116" s="23"/>
      <c r="M116" s="23"/>
      <c r="N116" s="4"/>
      <c r="O116" s="23"/>
      <c r="P116" s="23"/>
      <c r="Q116" s="23"/>
      <c r="R116" s="4"/>
      <c r="S116" s="4"/>
      <c r="T116" s="4"/>
    </row>
    <row r="117" spans="1:20" x14ac:dyDescent="0.25">
      <c r="A117" s="876"/>
      <c r="B117" s="4"/>
      <c r="C117" s="23"/>
      <c r="D117" s="23"/>
      <c r="E117" s="23"/>
      <c r="F117" s="23"/>
      <c r="G117" s="23"/>
      <c r="H117" s="23"/>
      <c r="I117" s="23"/>
      <c r="J117" s="23"/>
      <c r="K117" s="23"/>
      <c r="L117" s="23"/>
      <c r="M117" s="23"/>
      <c r="N117" s="4"/>
      <c r="O117" s="23"/>
      <c r="P117" s="23"/>
      <c r="Q117" s="23"/>
      <c r="R117" s="4"/>
      <c r="S117" s="4"/>
      <c r="T117" s="4"/>
    </row>
    <row r="118" spans="1:20" x14ac:dyDescent="0.25">
      <c r="A118" s="876"/>
      <c r="B118" s="4"/>
      <c r="C118" s="23"/>
      <c r="D118" s="23"/>
      <c r="E118" s="23"/>
      <c r="F118" s="23"/>
      <c r="G118" s="23"/>
      <c r="H118" s="23"/>
      <c r="I118" s="23"/>
      <c r="J118" s="23"/>
      <c r="K118" s="23"/>
      <c r="L118" s="23"/>
      <c r="M118" s="23"/>
      <c r="N118" s="4"/>
      <c r="O118" s="23"/>
      <c r="P118" s="23"/>
      <c r="Q118" s="23"/>
      <c r="R118" s="4"/>
      <c r="S118" s="4"/>
      <c r="T118" s="4"/>
    </row>
    <row r="119" spans="1:20" x14ac:dyDescent="0.25">
      <c r="A119" s="876"/>
      <c r="B119" s="4"/>
      <c r="C119" s="23"/>
      <c r="D119" s="23"/>
      <c r="E119" s="23"/>
      <c r="F119" s="23"/>
      <c r="G119" s="23"/>
      <c r="H119" s="23"/>
      <c r="I119" s="23"/>
      <c r="J119" s="23"/>
      <c r="K119" s="23"/>
      <c r="L119" s="23"/>
      <c r="M119" s="23"/>
      <c r="N119" s="4"/>
      <c r="O119" s="23"/>
      <c r="P119" s="23"/>
      <c r="Q119" s="23"/>
      <c r="R119" s="4"/>
      <c r="S119" s="4"/>
      <c r="T119" s="4"/>
    </row>
    <row r="120" spans="1:20" x14ac:dyDescent="0.25">
      <c r="A120" s="876"/>
      <c r="B120" s="4"/>
      <c r="C120" s="23"/>
      <c r="D120" s="23"/>
      <c r="E120" s="23"/>
      <c r="F120" s="23"/>
      <c r="G120" s="23"/>
      <c r="H120" s="23"/>
      <c r="I120" s="23"/>
      <c r="J120" s="23"/>
      <c r="K120" s="23"/>
      <c r="L120" s="23"/>
      <c r="M120" s="23"/>
      <c r="N120" s="4"/>
      <c r="O120" s="23"/>
      <c r="P120" s="23"/>
      <c r="Q120" s="23"/>
      <c r="R120" s="4"/>
      <c r="S120" s="4"/>
      <c r="T120" s="4"/>
    </row>
    <row r="121" spans="1:20" x14ac:dyDescent="0.25">
      <c r="A121" s="876"/>
      <c r="B121" s="4"/>
      <c r="C121" s="23"/>
      <c r="D121" s="23"/>
      <c r="E121" s="23"/>
      <c r="F121" s="23"/>
      <c r="G121" s="23"/>
      <c r="H121" s="23"/>
      <c r="I121" s="23"/>
      <c r="J121" s="23"/>
      <c r="K121" s="23"/>
      <c r="L121" s="23"/>
      <c r="M121" s="23"/>
      <c r="N121" s="4"/>
      <c r="O121" s="23"/>
      <c r="P121" s="23"/>
      <c r="Q121" s="23"/>
      <c r="R121" s="4"/>
      <c r="S121" s="4"/>
      <c r="T121" s="4"/>
    </row>
    <row r="122" spans="1:20" x14ac:dyDescent="0.25">
      <c r="A122" s="876"/>
      <c r="B122" s="4"/>
      <c r="C122" s="23"/>
      <c r="D122" s="23"/>
      <c r="E122" s="23"/>
      <c r="F122" s="23"/>
      <c r="G122" s="23"/>
      <c r="H122" s="23"/>
      <c r="I122" s="23"/>
      <c r="J122" s="23"/>
      <c r="K122" s="23"/>
      <c r="L122" s="23"/>
      <c r="M122" s="23"/>
      <c r="N122" s="4"/>
      <c r="O122" s="23"/>
      <c r="P122" s="23"/>
      <c r="Q122" s="23"/>
      <c r="R122" s="4"/>
      <c r="S122" s="4"/>
      <c r="T122" s="4"/>
    </row>
    <row r="123" spans="1:20" x14ac:dyDescent="0.25">
      <c r="A123" s="876"/>
      <c r="B123" s="4"/>
      <c r="C123" s="23"/>
      <c r="D123" s="23"/>
      <c r="E123" s="23"/>
      <c r="F123" s="23"/>
      <c r="G123" s="23"/>
      <c r="H123" s="23"/>
      <c r="I123" s="23"/>
      <c r="J123" s="23"/>
      <c r="K123" s="23"/>
      <c r="L123" s="23"/>
      <c r="M123" s="23"/>
      <c r="N123" s="4"/>
      <c r="O123" s="23"/>
      <c r="P123" s="23"/>
      <c r="Q123" s="23"/>
      <c r="R123" s="4"/>
      <c r="S123" s="4"/>
      <c r="T123" s="4"/>
    </row>
    <row r="124" spans="1:20" x14ac:dyDescent="0.25">
      <c r="A124" s="876"/>
      <c r="B124" s="4"/>
      <c r="C124" s="23"/>
      <c r="D124" s="23"/>
      <c r="E124" s="23"/>
      <c r="F124" s="23"/>
      <c r="G124" s="23"/>
      <c r="H124" s="23"/>
      <c r="I124" s="23"/>
      <c r="J124" s="23"/>
      <c r="K124" s="23"/>
      <c r="L124" s="23"/>
      <c r="M124" s="23"/>
      <c r="N124" s="4"/>
      <c r="O124" s="23"/>
      <c r="P124" s="23"/>
      <c r="Q124" s="23"/>
      <c r="R124" s="4"/>
      <c r="S124" s="4"/>
      <c r="T124" s="4"/>
    </row>
    <row r="125" spans="1:20" x14ac:dyDescent="0.25">
      <c r="A125" s="876"/>
      <c r="B125" s="4"/>
      <c r="C125" s="23"/>
      <c r="D125" s="23"/>
      <c r="E125" s="23"/>
      <c r="F125" s="23"/>
      <c r="G125" s="23"/>
      <c r="H125" s="23"/>
      <c r="I125" s="23"/>
      <c r="J125" s="23"/>
      <c r="K125" s="23"/>
      <c r="L125" s="23"/>
      <c r="M125" s="23"/>
      <c r="N125" s="4"/>
      <c r="O125" s="23"/>
      <c r="P125" s="23"/>
      <c r="Q125" s="23"/>
      <c r="R125" s="4"/>
      <c r="S125" s="4"/>
      <c r="T125" s="4"/>
    </row>
    <row r="126" spans="1:20" x14ac:dyDescent="0.25">
      <c r="A126" s="876"/>
      <c r="B126" s="4"/>
      <c r="C126" s="23"/>
      <c r="D126" s="23"/>
      <c r="E126" s="23"/>
      <c r="F126" s="23"/>
      <c r="G126" s="23"/>
      <c r="H126" s="23"/>
      <c r="I126" s="23"/>
      <c r="J126" s="23"/>
      <c r="K126" s="23"/>
      <c r="L126" s="23"/>
      <c r="M126" s="23"/>
      <c r="N126" s="4"/>
      <c r="O126" s="23"/>
      <c r="P126" s="23"/>
      <c r="Q126" s="23"/>
      <c r="R126" s="4"/>
      <c r="S126" s="4"/>
      <c r="T126" s="4"/>
    </row>
    <row r="127" spans="1:20" x14ac:dyDescent="0.25">
      <c r="A127" s="876"/>
      <c r="C127" s="114"/>
    </row>
    <row r="128" spans="1:20" x14ac:dyDescent="0.25">
      <c r="C128" s="114"/>
    </row>
    <row r="129" spans="3:3" x14ac:dyDescent="0.25">
      <c r="C129" s="114"/>
    </row>
    <row r="130" spans="3:3" x14ac:dyDescent="0.25">
      <c r="C130" s="114"/>
    </row>
    <row r="131" spans="3:3" x14ac:dyDescent="0.25">
      <c r="C131" s="114"/>
    </row>
    <row r="132" spans="3:3" x14ac:dyDescent="0.25">
      <c r="C132" s="114"/>
    </row>
    <row r="133" spans="3:3" x14ac:dyDescent="0.25">
      <c r="C133" s="114"/>
    </row>
    <row r="134" spans="3:3" x14ac:dyDescent="0.25">
      <c r="C134" s="114"/>
    </row>
    <row r="135" spans="3:3" x14ac:dyDescent="0.25">
      <c r="C135" s="114"/>
    </row>
    <row r="136" spans="3:3" x14ac:dyDescent="0.25">
      <c r="C136" s="114"/>
    </row>
    <row r="137" spans="3:3" x14ac:dyDescent="0.25">
      <c r="C137" s="114"/>
    </row>
    <row r="138" spans="3:3" x14ac:dyDescent="0.25">
      <c r="C138" s="114"/>
    </row>
    <row r="139" spans="3:3" x14ac:dyDescent="0.25">
      <c r="C139" s="114"/>
    </row>
    <row r="140" spans="3:3" x14ac:dyDescent="0.25">
      <c r="C140" s="114"/>
    </row>
    <row r="141" spans="3:3" x14ac:dyDescent="0.25">
      <c r="C141" s="114"/>
    </row>
    <row r="142" spans="3:3" x14ac:dyDescent="0.25">
      <c r="C142" s="114"/>
    </row>
    <row r="143" spans="3:3" x14ac:dyDescent="0.25">
      <c r="C143" s="114"/>
    </row>
    <row r="144" spans="3:3" x14ac:dyDescent="0.25">
      <c r="C144" s="114"/>
    </row>
    <row r="145" spans="3:3" x14ac:dyDescent="0.25">
      <c r="C145" s="114"/>
    </row>
    <row r="146" spans="3:3" x14ac:dyDescent="0.25">
      <c r="C146" s="114"/>
    </row>
    <row r="147" spans="3:3" x14ac:dyDescent="0.25">
      <c r="C147" s="114"/>
    </row>
    <row r="148" spans="3:3" x14ac:dyDescent="0.25">
      <c r="C148" s="114"/>
    </row>
    <row r="149" spans="3:3" x14ac:dyDescent="0.25">
      <c r="C149" s="114"/>
    </row>
    <row r="150" spans="3:3" x14ac:dyDescent="0.25">
      <c r="C150" s="114"/>
    </row>
    <row r="151" spans="3:3" x14ac:dyDescent="0.25">
      <c r="C151" s="114"/>
    </row>
    <row r="152" spans="3:3" x14ac:dyDescent="0.25">
      <c r="C152" s="114"/>
    </row>
    <row r="153" spans="3:3" x14ac:dyDescent="0.25">
      <c r="C153" s="114"/>
    </row>
    <row r="154" spans="3:3" x14ac:dyDescent="0.25">
      <c r="C154" s="114"/>
    </row>
    <row r="155" spans="3:3" x14ac:dyDescent="0.25">
      <c r="C155" s="114"/>
    </row>
    <row r="156" spans="3:3" x14ac:dyDescent="0.25">
      <c r="C156" s="114"/>
    </row>
    <row r="157" spans="3:3" x14ac:dyDescent="0.25">
      <c r="C157" s="114"/>
    </row>
    <row r="158" spans="3:3" x14ac:dyDescent="0.25">
      <c r="C158" s="114"/>
    </row>
    <row r="159" spans="3:3" x14ac:dyDescent="0.25">
      <c r="C159" s="114"/>
    </row>
    <row r="160" spans="3:3" x14ac:dyDescent="0.25">
      <c r="C160" s="114"/>
    </row>
    <row r="161" spans="3:3" x14ac:dyDescent="0.25">
      <c r="C161" s="114"/>
    </row>
    <row r="162" spans="3:3" x14ac:dyDescent="0.25">
      <c r="C162" s="114"/>
    </row>
    <row r="163" spans="3:3" x14ac:dyDescent="0.25">
      <c r="C163" s="114"/>
    </row>
    <row r="164" spans="3:3" x14ac:dyDescent="0.25">
      <c r="C164" s="114"/>
    </row>
    <row r="165" spans="3:3" x14ac:dyDescent="0.25">
      <c r="C165" s="114"/>
    </row>
    <row r="166" spans="3:3" x14ac:dyDescent="0.25">
      <c r="C166" s="114"/>
    </row>
    <row r="167" spans="3:3" x14ac:dyDescent="0.25">
      <c r="C167" s="114"/>
    </row>
    <row r="168" spans="3:3" x14ac:dyDescent="0.25">
      <c r="C168" s="114"/>
    </row>
    <row r="169" spans="3:3" x14ac:dyDescent="0.25">
      <c r="C169" s="114"/>
    </row>
    <row r="170" spans="3:3" x14ac:dyDescent="0.25">
      <c r="C170" s="114"/>
    </row>
    <row r="171" spans="3:3" x14ac:dyDescent="0.25">
      <c r="C171" s="114"/>
    </row>
    <row r="172" spans="3:3" x14ac:dyDescent="0.25">
      <c r="C172" s="114"/>
    </row>
    <row r="173" spans="3:3" x14ac:dyDescent="0.25">
      <c r="C173" s="114"/>
    </row>
    <row r="174" spans="3:3" x14ac:dyDescent="0.25">
      <c r="C174" s="114"/>
    </row>
    <row r="175" spans="3:3" x14ac:dyDescent="0.25">
      <c r="C175" s="114"/>
    </row>
    <row r="176" spans="3:3" x14ac:dyDescent="0.25">
      <c r="C176" s="114"/>
    </row>
    <row r="177" spans="3:3" x14ac:dyDescent="0.25">
      <c r="C177" s="114"/>
    </row>
    <row r="178" spans="3:3" x14ac:dyDescent="0.25">
      <c r="C178" s="114"/>
    </row>
    <row r="179" spans="3:3" x14ac:dyDescent="0.25">
      <c r="C179" s="114"/>
    </row>
    <row r="180" spans="3:3" x14ac:dyDescent="0.25">
      <c r="C180" s="114"/>
    </row>
  </sheetData>
  <phoneticPr fontId="0" type="noConversion"/>
  <hyperlinks>
    <hyperlink ref="A1" location="'Working Budget with funding det'!A1" display="Main " xr:uid="{00000000-0004-0000-1400-000000000000}"/>
    <hyperlink ref="B1" location="'Table of Contents'!A1" display="TOC" xr:uid="{00000000-0004-0000-1400-000001000000}"/>
  </hyperlinks>
  <pageMargins left="0.75" right="0.75" top="1" bottom="1" header="0.5" footer="0.5"/>
  <pageSetup fitToHeight="2" orientation="landscape" horizontalDpi="300" verticalDpi="300" r:id="rId1"/>
  <headerFooter alignWithMargins="0">
    <oddFooter>&amp;L&amp;D     &amp;T&amp;C&amp;F&amp;R&amp;A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U162"/>
  <sheetViews>
    <sheetView zoomScaleNormal="100" workbookViewId="0">
      <pane ySplit="7" topLeftCell="A26" activePane="bottomLeft" state="frozen"/>
      <selection activeCell="P7" sqref="P7"/>
      <selection pane="bottomLeft" activeCell="A37" sqref="A37:A38"/>
    </sheetView>
  </sheetViews>
  <sheetFormatPr defaultRowHeight="13.2" x14ac:dyDescent="0.25"/>
  <cols>
    <col min="1" max="1" width="11.77734375" style="885" customWidth="1"/>
    <col min="2" max="2" width="36.6640625" customWidth="1"/>
    <col min="3" max="3" width="14.44140625" style="1" hidden="1" customWidth="1"/>
    <col min="4" max="10" width="14.44140625" style="114" hidden="1" customWidth="1"/>
    <col min="11" max="13" width="14.44140625" style="114" customWidth="1"/>
    <col min="14" max="14" width="14.44140625" customWidth="1"/>
    <col min="15" max="17" width="14.44140625" style="1" customWidth="1"/>
    <col min="18" max="20" width="14.44140625" customWidth="1"/>
    <col min="21" max="21" width="14.6640625" style="2" customWidth="1"/>
  </cols>
  <sheetData>
    <row r="1" spans="1:20" x14ac:dyDescent="0.25">
      <c r="A1" s="874" t="s">
        <v>1021</v>
      </c>
      <c r="B1" s="371" t="s">
        <v>1348</v>
      </c>
      <c r="Q1"/>
    </row>
    <row r="2" spans="1:20" ht="13.8" x14ac:dyDescent="0.25">
      <c r="A2" s="875" t="s">
        <v>259</v>
      </c>
      <c r="B2" s="45"/>
      <c r="E2" s="141"/>
      <c r="I2" s="141" t="s">
        <v>257</v>
      </c>
      <c r="J2" s="141"/>
      <c r="K2" s="141"/>
      <c r="L2" s="141"/>
      <c r="M2" s="141"/>
      <c r="N2" s="61" t="s">
        <v>363</v>
      </c>
      <c r="P2" s="46" t="s">
        <v>483</v>
      </c>
    </row>
    <row r="3" spans="1:20" ht="13.8" thickBot="1" x14ac:dyDescent="0.3">
      <c r="A3" s="876"/>
      <c r="B3" s="4"/>
      <c r="C3" s="23"/>
      <c r="D3" s="23"/>
      <c r="E3" s="23"/>
      <c r="F3" s="23"/>
      <c r="G3" s="23"/>
      <c r="H3" s="23"/>
      <c r="I3" s="23"/>
      <c r="J3" s="23"/>
      <c r="K3" s="23"/>
      <c r="L3" s="23"/>
      <c r="M3" s="23"/>
      <c r="N3" s="4"/>
      <c r="O3" s="23"/>
      <c r="P3" s="4"/>
      <c r="Q3" s="4"/>
      <c r="T3" s="4"/>
    </row>
    <row r="4" spans="1:20" ht="13.8" thickTop="1" x14ac:dyDescent="0.25">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t="s">
        <v>910</v>
      </c>
    </row>
    <row r="5" spans="1:20" x14ac:dyDescent="0.25">
      <c r="A5" s="878"/>
      <c r="B5" s="209"/>
      <c r="C5" s="127"/>
      <c r="D5" s="87"/>
      <c r="E5" s="113"/>
      <c r="F5" s="87"/>
      <c r="G5" s="87"/>
      <c r="H5" s="113"/>
      <c r="I5" s="290"/>
      <c r="J5" s="290"/>
      <c r="K5" s="290"/>
      <c r="L5" s="290"/>
      <c r="M5" s="290"/>
      <c r="N5" s="113" t="s">
        <v>515</v>
      </c>
      <c r="O5" s="88" t="s">
        <v>7</v>
      </c>
      <c r="P5" s="203" t="s">
        <v>782</v>
      </c>
    </row>
    <row r="6" spans="1:20" x14ac:dyDescent="0.25">
      <c r="A6" s="878"/>
      <c r="B6" s="209"/>
      <c r="C6" s="127"/>
      <c r="D6" s="127"/>
      <c r="E6" s="127"/>
      <c r="F6" s="127"/>
      <c r="G6" s="127"/>
      <c r="H6" s="127"/>
      <c r="I6" s="88"/>
      <c r="J6" s="88"/>
      <c r="K6" s="88"/>
      <c r="L6" s="88"/>
      <c r="M6" s="88"/>
      <c r="N6" s="127"/>
      <c r="O6" s="88" t="s">
        <v>8</v>
      </c>
      <c r="P6" s="47" t="s">
        <v>543</v>
      </c>
    </row>
    <row r="7" spans="1:20"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44561</v>
      </c>
      <c r="O7" s="9" t="s">
        <v>9</v>
      </c>
      <c r="P7" s="9" t="s">
        <v>546</v>
      </c>
    </row>
    <row r="8" spans="1:20" ht="13.8" thickTop="1" x14ac:dyDescent="0.25">
      <c r="A8" s="880"/>
      <c r="B8" s="177"/>
      <c r="C8" s="129"/>
      <c r="D8" s="315"/>
      <c r="E8" s="315"/>
      <c r="F8" s="315"/>
      <c r="G8" s="315"/>
      <c r="H8" s="315"/>
      <c r="I8" s="315"/>
      <c r="J8" s="315"/>
      <c r="K8" s="164"/>
      <c r="L8" s="164"/>
      <c r="M8" s="164"/>
      <c r="N8" s="62"/>
      <c r="O8" s="10"/>
      <c r="P8" s="10"/>
    </row>
    <row r="9" spans="1:20" x14ac:dyDescent="0.25">
      <c r="A9" s="881">
        <v>5111</v>
      </c>
      <c r="B9" s="63" t="s">
        <v>688</v>
      </c>
      <c r="C9" s="130">
        <v>47211.5</v>
      </c>
      <c r="D9" s="30">
        <v>54648</v>
      </c>
      <c r="E9" s="30">
        <v>56574</v>
      </c>
      <c r="F9" s="30">
        <v>58569</v>
      </c>
      <c r="G9" s="30">
        <v>60633</v>
      </c>
      <c r="H9" s="30">
        <v>63080</v>
      </c>
      <c r="I9" s="30">
        <v>65951</v>
      </c>
      <c r="J9" s="30">
        <v>67944</v>
      </c>
      <c r="K9" s="31">
        <v>113037</v>
      </c>
      <c r="L9" s="30">
        <v>110763.68</v>
      </c>
      <c r="M9" s="31">
        <v>114971</v>
      </c>
      <c r="N9" s="30">
        <v>55549.87</v>
      </c>
      <c r="O9" s="31">
        <f>ROUND((+N37+N38),0)</f>
        <v>117307</v>
      </c>
      <c r="P9" s="31"/>
    </row>
    <row r="10" spans="1:20" x14ac:dyDescent="0.25">
      <c r="A10" s="881">
        <v>5113</v>
      </c>
      <c r="B10" s="63" t="s">
        <v>689</v>
      </c>
      <c r="C10" s="130">
        <v>12608.24</v>
      </c>
      <c r="D10" s="13">
        <v>14529.42</v>
      </c>
      <c r="E10" s="13">
        <v>15036.46</v>
      </c>
      <c r="F10" s="13">
        <v>15806.8</v>
      </c>
      <c r="G10" s="13">
        <v>15361.4</v>
      </c>
      <c r="H10" s="13">
        <v>16774.490000000002</v>
      </c>
      <c r="I10" s="13">
        <v>42298.21</v>
      </c>
      <c r="J10" s="13">
        <v>39466.89</v>
      </c>
      <c r="K10" s="14">
        <v>0</v>
      </c>
      <c r="L10" s="13"/>
      <c r="M10" s="14"/>
      <c r="N10" s="13"/>
      <c r="O10" s="14"/>
      <c r="P10" s="14"/>
    </row>
    <row r="11" spans="1:20" ht="13.8" thickBot="1" x14ac:dyDescent="0.3">
      <c r="A11" s="881">
        <v>5144</v>
      </c>
      <c r="B11" s="63" t="s">
        <v>157</v>
      </c>
      <c r="C11" s="131"/>
      <c r="D11" s="15"/>
      <c r="E11" s="15"/>
      <c r="F11" s="15"/>
      <c r="G11" s="15">
        <v>450</v>
      </c>
      <c r="H11" s="15">
        <v>450</v>
      </c>
      <c r="I11" s="15">
        <v>450</v>
      </c>
      <c r="J11" s="15">
        <v>500</v>
      </c>
      <c r="K11" s="14">
        <v>500</v>
      </c>
      <c r="L11" s="13">
        <v>500</v>
      </c>
      <c r="M11" s="14">
        <v>500</v>
      </c>
      <c r="N11" s="13"/>
      <c r="O11" s="14">
        <f>+Q39</f>
        <v>500</v>
      </c>
      <c r="P11" s="14"/>
    </row>
    <row r="12" spans="1:20" ht="13.8" thickBot="1" x14ac:dyDescent="0.3">
      <c r="A12" s="881">
        <v>5145</v>
      </c>
      <c r="B12" s="63" t="s">
        <v>603</v>
      </c>
      <c r="C12" s="709"/>
      <c r="D12" s="30"/>
      <c r="E12" s="30"/>
      <c r="F12" s="30"/>
      <c r="G12" s="30"/>
      <c r="H12" s="30"/>
      <c r="I12" s="30"/>
      <c r="J12" s="30"/>
      <c r="K12" s="1069"/>
      <c r="L12" s="1070"/>
      <c r="M12" s="1069"/>
      <c r="N12" s="1070">
        <v>34.619999999999997</v>
      </c>
      <c r="O12" s="1069">
        <v>300</v>
      </c>
      <c r="P12" s="1069"/>
    </row>
    <row r="13" spans="1:20" ht="13.8" thickTop="1" x14ac:dyDescent="0.25">
      <c r="A13" s="881"/>
      <c r="B13" s="64" t="s">
        <v>130</v>
      </c>
      <c r="C13" s="132">
        <f t="shared" ref="C13:P13" si="0">SUM(C9:C11)</f>
        <v>59819.74</v>
      </c>
      <c r="D13" s="18">
        <f t="shared" si="0"/>
        <v>69177.42</v>
      </c>
      <c r="E13" s="18">
        <f t="shared" si="0"/>
        <v>71610.459999999992</v>
      </c>
      <c r="F13" s="18">
        <f t="shared" si="0"/>
        <v>74375.8</v>
      </c>
      <c r="G13" s="18">
        <f t="shared" si="0"/>
        <v>76444.399999999994</v>
      </c>
      <c r="H13" s="18">
        <f t="shared" si="0"/>
        <v>80304.490000000005</v>
      </c>
      <c r="I13" s="18">
        <f t="shared" si="0"/>
        <v>108699.20999999999</v>
      </c>
      <c r="J13" s="18">
        <f t="shared" si="0"/>
        <v>107910.89</v>
      </c>
      <c r="K13" s="19">
        <f>SUM(K9:K11)</f>
        <v>113537</v>
      </c>
      <c r="L13" s="18">
        <f t="shared" ref="L13:M13" si="1">SUM(L9:L11)</f>
        <v>111263.67999999999</v>
      </c>
      <c r="M13" s="19">
        <f t="shared" si="1"/>
        <v>115471</v>
      </c>
      <c r="N13" s="18">
        <f>SUM(N9:N12)</f>
        <v>55584.490000000005</v>
      </c>
      <c r="O13" s="19">
        <f>SUM(O9:O12)</f>
        <v>118107</v>
      </c>
      <c r="P13" s="19">
        <f t="shared" si="0"/>
        <v>0</v>
      </c>
    </row>
    <row r="14" spans="1:20" x14ac:dyDescent="0.25">
      <c r="A14" s="881"/>
      <c r="B14" s="63"/>
      <c r="C14" s="130"/>
      <c r="D14" s="13"/>
      <c r="E14" s="13"/>
      <c r="F14" s="13"/>
      <c r="G14" s="13"/>
      <c r="H14" s="13"/>
      <c r="I14" s="13"/>
      <c r="J14" s="13"/>
      <c r="K14" s="14"/>
      <c r="L14" s="13"/>
      <c r="M14" s="14"/>
      <c r="N14" s="13"/>
      <c r="O14" s="14"/>
      <c r="P14" s="14"/>
    </row>
    <row r="15" spans="1:20" hidden="1" x14ac:dyDescent="0.25">
      <c r="A15" s="881">
        <v>5247</v>
      </c>
      <c r="B15" s="63" t="s">
        <v>392</v>
      </c>
      <c r="C15" s="130">
        <v>400</v>
      </c>
      <c r="D15" s="13">
        <v>0</v>
      </c>
      <c r="E15" s="13"/>
      <c r="F15" s="13"/>
      <c r="G15" s="13"/>
      <c r="H15" s="13"/>
      <c r="I15" s="13"/>
      <c r="J15" s="13"/>
      <c r="K15" s="14"/>
      <c r="L15" s="13"/>
      <c r="M15" s="14"/>
      <c r="N15" s="13"/>
      <c r="O15" s="14"/>
      <c r="P15" s="14"/>
    </row>
    <row r="16" spans="1:20" hidden="1" x14ac:dyDescent="0.25">
      <c r="A16" s="881">
        <v>5300</v>
      </c>
      <c r="B16" s="63" t="s">
        <v>1040</v>
      </c>
      <c r="C16" s="130"/>
      <c r="D16" s="13"/>
      <c r="E16" s="13"/>
      <c r="F16" s="13"/>
      <c r="G16" s="13">
        <v>4500</v>
      </c>
      <c r="H16" s="13">
        <v>4000</v>
      </c>
      <c r="I16" s="13">
        <v>0</v>
      </c>
      <c r="J16" s="13">
        <v>3400</v>
      </c>
      <c r="K16" s="14"/>
      <c r="L16" s="13"/>
      <c r="M16" s="14"/>
      <c r="N16" s="13"/>
      <c r="O16" s="14"/>
      <c r="P16" s="14"/>
    </row>
    <row r="17" spans="1:20" x14ac:dyDescent="0.25">
      <c r="A17" s="881">
        <v>5314</v>
      </c>
      <c r="B17" s="63" t="s">
        <v>139</v>
      </c>
      <c r="C17" s="130">
        <v>465</v>
      </c>
      <c r="D17" s="13">
        <v>190</v>
      </c>
      <c r="E17" s="13">
        <v>299</v>
      </c>
      <c r="F17" s="13">
        <v>155</v>
      </c>
      <c r="G17" s="13">
        <v>350</v>
      </c>
      <c r="H17" s="13">
        <v>405.24</v>
      </c>
      <c r="I17" s="13">
        <v>572.36</v>
      </c>
      <c r="J17" s="13">
        <v>1125</v>
      </c>
      <c r="K17" s="14">
        <v>1000</v>
      </c>
      <c r="L17" s="13">
        <v>610</v>
      </c>
      <c r="M17" s="14">
        <v>1000</v>
      </c>
      <c r="N17" s="13">
        <v>87.85</v>
      </c>
      <c r="O17" s="14">
        <v>3550</v>
      </c>
      <c r="P17" s="14"/>
    </row>
    <row r="18" spans="1:20" hidden="1" x14ac:dyDescent="0.25">
      <c r="A18" s="881">
        <v>5341</v>
      </c>
      <c r="B18" s="63" t="s">
        <v>141</v>
      </c>
      <c r="C18" s="130">
        <v>218.95</v>
      </c>
      <c r="D18" s="13">
        <v>207.97</v>
      </c>
      <c r="E18" s="13">
        <v>210.96</v>
      </c>
      <c r="F18" s="13">
        <v>215.83</v>
      </c>
      <c r="G18" s="13">
        <v>247.42</v>
      </c>
      <c r="H18" s="13"/>
      <c r="I18" s="13"/>
      <c r="J18" s="13"/>
      <c r="K18" s="14"/>
      <c r="L18" s="13"/>
      <c r="M18" s="14"/>
      <c r="N18" s="13"/>
      <c r="O18" s="14"/>
      <c r="P18" s="14"/>
    </row>
    <row r="19" spans="1:20" x14ac:dyDescent="0.25">
      <c r="A19" s="881">
        <v>5344</v>
      </c>
      <c r="B19" s="63" t="s">
        <v>142</v>
      </c>
      <c r="C19" s="130">
        <v>324.27999999999997</v>
      </c>
      <c r="D19" s="13">
        <v>435.35</v>
      </c>
      <c r="E19" s="13">
        <v>425.43</v>
      </c>
      <c r="F19" s="13">
        <v>462.37</v>
      </c>
      <c r="G19" s="13">
        <v>280.69</v>
      </c>
      <c r="H19" s="13">
        <v>195.02</v>
      </c>
      <c r="I19" s="13">
        <v>278.26</v>
      </c>
      <c r="J19" s="13">
        <v>89.45</v>
      </c>
      <c r="K19" s="14">
        <v>550</v>
      </c>
      <c r="L19" s="13">
        <v>210.81</v>
      </c>
      <c r="M19" s="14">
        <v>550</v>
      </c>
      <c r="N19" s="13">
        <v>25</v>
      </c>
      <c r="O19" s="14">
        <v>550</v>
      </c>
      <c r="P19" s="14"/>
    </row>
    <row r="20" spans="1:20" x14ac:dyDescent="0.25">
      <c r="A20" s="881">
        <v>5345</v>
      </c>
      <c r="B20" s="12" t="s">
        <v>143</v>
      </c>
      <c r="C20" s="37">
        <v>1089.3399999999999</v>
      </c>
      <c r="D20" s="37">
        <v>1702.95</v>
      </c>
      <c r="E20" s="37">
        <v>1256.99</v>
      </c>
      <c r="F20" s="37">
        <v>1307.4100000000001</v>
      </c>
      <c r="G20" s="37">
        <v>1054.68</v>
      </c>
      <c r="H20" s="37">
        <v>1471.48</v>
      </c>
      <c r="I20" s="37">
        <v>1063.5899999999999</v>
      </c>
      <c r="J20" s="37">
        <v>1942.03</v>
      </c>
      <c r="K20" s="38">
        <v>1650</v>
      </c>
      <c r="L20" s="37">
        <v>1314.48</v>
      </c>
      <c r="M20" s="38">
        <v>1650</v>
      </c>
      <c r="N20" s="37">
        <v>949</v>
      </c>
      <c r="O20" s="38">
        <v>1650</v>
      </c>
      <c r="P20" s="38"/>
    </row>
    <row r="21" spans="1:20" x14ac:dyDescent="0.25">
      <c r="A21" s="881">
        <v>5350</v>
      </c>
      <c r="B21" s="12" t="s">
        <v>1345</v>
      </c>
      <c r="C21" s="37"/>
      <c r="D21" s="37"/>
      <c r="E21" s="37"/>
      <c r="F21" s="37"/>
      <c r="G21" s="37"/>
      <c r="H21" s="37"/>
      <c r="I21" s="37"/>
      <c r="J21" s="37">
        <v>3000</v>
      </c>
      <c r="K21" s="38">
        <v>1500</v>
      </c>
      <c r="L21" s="37">
        <v>1500</v>
      </c>
      <c r="M21" s="38">
        <v>1500</v>
      </c>
      <c r="N21" s="37">
        <v>1500</v>
      </c>
      <c r="O21" s="38">
        <v>1500</v>
      </c>
      <c r="P21" s="38"/>
    </row>
    <row r="22" spans="1:20" x14ac:dyDescent="0.25">
      <c r="A22" s="881">
        <v>5380</v>
      </c>
      <c r="B22" s="12" t="s">
        <v>442</v>
      </c>
      <c r="C22" s="13">
        <v>250</v>
      </c>
      <c r="D22" s="13">
        <v>107.43</v>
      </c>
      <c r="E22" s="13">
        <v>1039</v>
      </c>
      <c r="F22" s="13">
        <v>291</v>
      </c>
      <c r="G22" s="13">
        <v>1142</v>
      </c>
      <c r="H22" s="13"/>
      <c r="I22" s="13">
        <v>190</v>
      </c>
      <c r="J22" s="13">
        <v>1094.44</v>
      </c>
      <c r="K22" s="14">
        <v>300</v>
      </c>
      <c r="L22" s="13">
        <v>1100</v>
      </c>
      <c r="M22" s="14">
        <v>300</v>
      </c>
      <c r="N22" s="13">
        <v>315</v>
      </c>
      <c r="O22" s="14">
        <v>1000</v>
      </c>
      <c r="P22" s="14"/>
    </row>
    <row r="23" spans="1:20" x14ac:dyDescent="0.25">
      <c r="A23" s="881">
        <v>5420</v>
      </c>
      <c r="B23" s="12" t="s">
        <v>144</v>
      </c>
      <c r="C23" s="18">
        <v>405.65</v>
      </c>
      <c r="D23" s="18">
        <v>755.61</v>
      </c>
      <c r="E23" s="18">
        <v>524.92999999999995</v>
      </c>
      <c r="F23" s="18">
        <v>916.79</v>
      </c>
      <c r="G23" s="18">
        <v>373.24</v>
      </c>
      <c r="H23" s="18">
        <v>1589.88</v>
      </c>
      <c r="I23" s="18">
        <v>581.44000000000005</v>
      </c>
      <c r="J23" s="18">
        <v>130.05000000000001</v>
      </c>
      <c r="K23" s="19">
        <v>750</v>
      </c>
      <c r="L23" s="18">
        <v>231.29</v>
      </c>
      <c r="M23" s="19">
        <v>750</v>
      </c>
      <c r="N23" s="18">
        <v>47.92</v>
      </c>
      <c r="O23" s="19">
        <v>750</v>
      </c>
      <c r="P23" s="19"/>
    </row>
    <row r="24" spans="1:20" hidden="1" x14ac:dyDescent="0.25">
      <c r="A24" s="881">
        <v>5490</v>
      </c>
      <c r="B24" s="12" t="s">
        <v>23</v>
      </c>
      <c r="C24" s="13">
        <v>141.15</v>
      </c>
      <c r="D24" s="18">
        <v>0</v>
      </c>
      <c r="E24" s="18">
        <v>36.04</v>
      </c>
      <c r="F24" s="18"/>
      <c r="G24" s="18"/>
      <c r="H24" s="18"/>
      <c r="I24" s="18"/>
      <c r="J24" s="18">
        <v>235.41</v>
      </c>
      <c r="K24" s="19"/>
      <c r="L24" s="18"/>
      <c r="M24" s="19"/>
      <c r="N24" s="18"/>
      <c r="O24" s="19"/>
      <c r="P24" s="19"/>
    </row>
    <row r="25" spans="1:20" x14ac:dyDescent="0.25">
      <c r="A25" s="881">
        <v>5581</v>
      </c>
      <c r="B25" s="12" t="s">
        <v>146</v>
      </c>
      <c r="C25" s="13">
        <v>273.77999999999997</v>
      </c>
      <c r="D25" s="13">
        <v>176.8</v>
      </c>
      <c r="E25" s="13">
        <v>258.3</v>
      </c>
      <c r="F25" s="13">
        <v>40</v>
      </c>
      <c r="G25" s="13">
        <v>264.60000000000002</v>
      </c>
      <c r="H25" s="13">
        <v>197.6</v>
      </c>
      <c r="I25" s="13">
        <v>257.60000000000002</v>
      </c>
      <c r="J25" s="13">
        <v>197.6</v>
      </c>
      <c r="K25" s="14">
        <v>200</v>
      </c>
      <c r="L25" s="13">
        <v>227.6</v>
      </c>
      <c r="M25" s="14">
        <v>200</v>
      </c>
      <c r="N25" s="13"/>
      <c r="O25" s="14">
        <v>200</v>
      </c>
      <c r="P25" s="14"/>
    </row>
    <row r="26" spans="1:20" x14ac:dyDescent="0.25">
      <c r="A26" s="881">
        <v>5590</v>
      </c>
      <c r="B26" s="26" t="s">
        <v>559</v>
      </c>
      <c r="C26" s="13">
        <v>107.45</v>
      </c>
      <c r="D26" s="13">
        <v>288.33</v>
      </c>
      <c r="E26" s="13"/>
      <c r="F26" s="13">
        <v>100</v>
      </c>
      <c r="G26" s="13">
        <v>113.31</v>
      </c>
      <c r="H26" s="13"/>
      <c r="I26" s="13">
        <v>622.38</v>
      </c>
      <c r="J26" s="13">
        <v>3918.83</v>
      </c>
      <c r="K26" s="14">
        <v>350</v>
      </c>
      <c r="L26" s="13">
        <v>2067</v>
      </c>
      <c r="M26" s="14">
        <v>350</v>
      </c>
      <c r="N26" s="13">
        <v>689.57</v>
      </c>
      <c r="O26" s="14">
        <v>350</v>
      </c>
      <c r="P26" s="14"/>
    </row>
    <row r="27" spans="1:20" x14ac:dyDescent="0.25">
      <c r="A27" s="881">
        <v>5710</v>
      </c>
      <c r="B27" s="12" t="s">
        <v>535</v>
      </c>
      <c r="C27" s="18">
        <v>399.34</v>
      </c>
      <c r="D27" s="18">
        <v>407.12</v>
      </c>
      <c r="E27" s="18">
        <v>397.89</v>
      </c>
      <c r="F27" s="18">
        <v>342.72</v>
      </c>
      <c r="G27" s="18">
        <v>483.91</v>
      </c>
      <c r="H27" s="18">
        <v>556.12</v>
      </c>
      <c r="I27" s="18">
        <v>745.52</v>
      </c>
      <c r="J27" s="18">
        <v>319.81</v>
      </c>
      <c r="K27" s="19">
        <v>900</v>
      </c>
      <c r="L27" s="18">
        <v>130.80000000000001</v>
      </c>
      <c r="M27" s="19">
        <v>900</v>
      </c>
      <c r="N27" s="18"/>
      <c r="O27" s="19">
        <v>900</v>
      </c>
      <c r="P27" s="19"/>
    </row>
    <row r="28" spans="1:20" ht="13.8" thickBot="1" x14ac:dyDescent="0.3">
      <c r="A28" s="881">
        <v>5730</v>
      </c>
      <c r="B28" s="12" t="s">
        <v>147</v>
      </c>
      <c r="C28" s="15">
        <v>401</v>
      </c>
      <c r="D28" s="15">
        <v>594.5</v>
      </c>
      <c r="E28" s="15">
        <v>551</v>
      </c>
      <c r="F28" s="15">
        <v>483</v>
      </c>
      <c r="G28" s="15">
        <v>360</v>
      </c>
      <c r="H28" s="15">
        <v>387</v>
      </c>
      <c r="I28" s="15">
        <v>357</v>
      </c>
      <c r="J28" s="15"/>
      <c r="K28" s="16">
        <v>450</v>
      </c>
      <c r="L28" s="15">
        <v>478.5</v>
      </c>
      <c r="M28" s="16">
        <v>450</v>
      </c>
      <c r="N28" s="15">
        <v>564</v>
      </c>
      <c r="O28" s="16">
        <v>450</v>
      </c>
      <c r="P28" s="16"/>
    </row>
    <row r="29" spans="1:20" x14ac:dyDescent="0.25">
      <c r="A29" s="881"/>
      <c r="B29" s="17" t="s">
        <v>449</v>
      </c>
      <c r="C29" s="37">
        <f t="shared" ref="C29:N29" si="2">SUM(C15:C28)</f>
        <v>4475.9399999999996</v>
      </c>
      <c r="D29" s="37">
        <f t="shared" si="2"/>
        <v>4866.0600000000004</v>
      </c>
      <c r="E29" s="37">
        <f t="shared" si="2"/>
        <v>4999.54</v>
      </c>
      <c r="F29" s="37">
        <f>SUM(F17:F28)</f>
        <v>4314.12</v>
      </c>
      <c r="G29" s="37">
        <f>SUM(G15:G28)</f>
        <v>9169.8499999999985</v>
      </c>
      <c r="H29" s="37">
        <f>SUM(H15:H28)</f>
        <v>8802.34</v>
      </c>
      <c r="I29" s="37">
        <f t="shared" si="2"/>
        <v>4668.1499999999996</v>
      </c>
      <c r="J29" s="37">
        <f t="shared" ref="J29" si="3">SUM(J15:J28)</f>
        <v>15452.619999999999</v>
      </c>
      <c r="K29" s="38">
        <f>SUM(K15:K28)</f>
        <v>7650</v>
      </c>
      <c r="L29" s="37">
        <f t="shared" ref="L29:M29" si="4">SUM(L15:L28)</f>
        <v>7870.4800000000005</v>
      </c>
      <c r="M29" s="38">
        <f t="shared" si="4"/>
        <v>7650</v>
      </c>
      <c r="N29" s="37">
        <f t="shared" si="2"/>
        <v>4178.34</v>
      </c>
      <c r="O29" s="38">
        <f>SUM(O15:O28)</f>
        <v>10900</v>
      </c>
      <c r="P29" s="38">
        <f>SUM(P15:P28)</f>
        <v>0</v>
      </c>
    </row>
    <row r="30" spans="1:20" x14ac:dyDescent="0.25">
      <c r="A30" s="881"/>
      <c r="B30" s="12"/>
      <c r="C30" s="37"/>
      <c r="D30" s="37"/>
      <c r="E30" s="37"/>
      <c r="F30" s="37"/>
      <c r="G30" s="37"/>
      <c r="H30" s="37"/>
      <c r="I30" s="37"/>
      <c r="J30" s="37"/>
      <c r="K30" s="38"/>
      <c r="L30" s="37"/>
      <c r="M30" s="38"/>
      <c r="N30" s="37"/>
      <c r="O30" s="38"/>
      <c r="P30" s="38"/>
    </row>
    <row r="31" spans="1:20" ht="13.8" thickBot="1" x14ac:dyDescent="0.3">
      <c r="A31" s="882"/>
      <c r="B31" s="20" t="s">
        <v>289</v>
      </c>
      <c r="C31" s="21">
        <f t="shared" ref="C31:N31" si="5">+C29+C13</f>
        <v>64295.68</v>
      </c>
      <c r="D31" s="21">
        <f t="shared" si="5"/>
        <v>74043.48</v>
      </c>
      <c r="E31" s="21">
        <f>+E29+E13</f>
        <v>76609.999999999985</v>
      </c>
      <c r="F31" s="21">
        <f>+F29+F13</f>
        <v>78689.919999999998</v>
      </c>
      <c r="G31" s="21">
        <f>+G29+G13</f>
        <v>85614.25</v>
      </c>
      <c r="H31" s="21">
        <f>+H29+H13</f>
        <v>89106.83</v>
      </c>
      <c r="I31" s="21">
        <f t="shared" si="5"/>
        <v>113367.35999999999</v>
      </c>
      <c r="J31" s="21">
        <f t="shared" ref="J31" si="6">+J29+J13</f>
        <v>123363.51</v>
      </c>
      <c r="K31" s="22">
        <f>+K29+K13</f>
        <v>121187</v>
      </c>
      <c r="L31" s="21">
        <f t="shared" ref="L31:M31" si="7">+L29+L13</f>
        <v>119134.15999999999</v>
      </c>
      <c r="M31" s="22">
        <f t="shared" si="7"/>
        <v>123121</v>
      </c>
      <c r="N31" s="21">
        <f t="shared" si="5"/>
        <v>59762.83</v>
      </c>
      <c r="O31" s="22">
        <f>+O29+O13</f>
        <v>129007</v>
      </c>
      <c r="P31" s="22">
        <f>+O31</f>
        <v>129007</v>
      </c>
    </row>
    <row r="32" spans="1:20" ht="16.2" thickTop="1" x14ac:dyDescent="0.3">
      <c r="A32" s="898"/>
      <c r="B32" s="95"/>
      <c r="C32" s="23"/>
      <c r="D32" s="23"/>
      <c r="E32" s="23"/>
      <c r="F32" s="23"/>
      <c r="G32" s="23"/>
      <c r="H32" s="23"/>
      <c r="I32" s="23"/>
      <c r="J32" s="23"/>
      <c r="K32" s="23"/>
      <c r="L32" s="23"/>
      <c r="M32" s="23"/>
      <c r="N32" s="27"/>
      <c r="O32" s="23"/>
      <c r="P32" s="23"/>
      <c r="Q32" s="27"/>
      <c r="S32" s="208"/>
      <c r="T32" s="27"/>
    </row>
    <row r="33" spans="1:20" x14ac:dyDescent="0.25">
      <c r="A33" s="876" t="s">
        <v>527</v>
      </c>
      <c r="B33" s="4"/>
    </row>
    <row r="34" spans="1:20" ht="13.8" thickBot="1" x14ac:dyDescent="0.3">
      <c r="A34" s="876"/>
      <c r="B34" s="4" t="s">
        <v>1714</v>
      </c>
    </row>
    <row r="35" spans="1:20" ht="13.8" thickTop="1" x14ac:dyDescent="0.25">
      <c r="A35" s="883" t="s">
        <v>891</v>
      </c>
      <c r="B35" s="107"/>
      <c r="K35" s="149" t="s">
        <v>85</v>
      </c>
      <c r="L35" s="156" t="s">
        <v>33</v>
      </c>
      <c r="M35" s="168"/>
      <c r="N35" s="158" t="s">
        <v>579</v>
      </c>
      <c r="O35"/>
      <c r="P35" s="212"/>
      <c r="Q35"/>
      <c r="R35" s="1"/>
    </row>
    <row r="36" spans="1:20" ht="13.8" thickBot="1" x14ac:dyDescent="0.3">
      <c r="A36" s="884" t="s">
        <v>892</v>
      </c>
      <c r="B36" s="109" t="s">
        <v>528</v>
      </c>
      <c r="K36" s="343">
        <v>44743</v>
      </c>
      <c r="L36" s="159" t="s">
        <v>576</v>
      </c>
      <c r="M36" s="160" t="s">
        <v>34</v>
      </c>
      <c r="N36" s="160" t="s">
        <v>106</v>
      </c>
      <c r="O36" s="234"/>
      <c r="P36" s="234"/>
      <c r="Q36" s="234" t="s">
        <v>350</v>
      </c>
      <c r="R36" s="1"/>
    </row>
    <row r="37" spans="1:20" ht="13.8" thickTop="1" x14ac:dyDescent="0.25">
      <c r="A37" s="171"/>
      <c r="B37" s="110" t="s">
        <v>682</v>
      </c>
      <c r="K37" s="19" t="s">
        <v>790</v>
      </c>
      <c r="L37" s="155"/>
      <c r="M37" s="18"/>
      <c r="N37" s="155">
        <f>+'NAGE &amp; Non-Union Wages'!K10</f>
        <v>74282</v>
      </c>
      <c r="O37" s="171"/>
      <c r="P37" s="873"/>
      <c r="Q37" s="67">
        <v>500</v>
      </c>
      <c r="R37" s="1"/>
    </row>
    <row r="38" spans="1:20" x14ac:dyDescent="0.25">
      <c r="A38" s="171"/>
      <c r="B38" s="580" t="s">
        <v>1360</v>
      </c>
      <c r="K38" s="38" t="s">
        <v>1340</v>
      </c>
      <c r="L38" s="581">
        <f>+'NAGE &amp; Non-Union Wages'!G7</f>
        <v>23.64</v>
      </c>
      <c r="M38" s="30">
        <v>1820</v>
      </c>
      <c r="N38" s="166">
        <f>+ROUND((+L38*M38),2)</f>
        <v>43024.800000000003</v>
      </c>
      <c r="O38" s="171"/>
      <c r="P38" s="873"/>
      <c r="Q38" s="2"/>
      <c r="R38" s="224"/>
    </row>
    <row r="39" spans="1:20" x14ac:dyDescent="0.25">
      <c r="A39" s="911"/>
      <c r="B39" s="63"/>
      <c r="C39" s="13"/>
      <c r="D39" s="13"/>
      <c r="E39" s="13"/>
      <c r="K39" s="13"/>
      <c r="L39" s="144"/>
      <c r="M39" s="144"/>
      <c r="N39" s="166"/>
      <c r="O39" s="23"/>
      <c r="P39" s="27"/>
      <c r="Q39" s="2">
        <f>SUM(Q37:Q38)</f>
        <v>500</v>
      </c>
      <c r="R39" s="1"/>
    </row>
    <row r="40" spans="1:20" x14ac:dyDescent="0.25">
      <c r="A40" s="876"/>
      <c r="B40" s="4"/>
      <c r="C40" s="23"/>
      <c r="D40" s="23"/>
      <c r="E40" s="23"/>
      <c r="I40" s="23"/>
      <c r="J40" s="23"/>
      <c r="K40" s="105"/>
      <c r="L40" s="105"/>
      <c r="M40" s="105"/>
      <c r="N40" s="27"/>
      <c r="O40" s="27"/>
      <c r="P40" s="27"/>
      <c r="Q40" s="2"/>
    </row>
    <row r="41" spans="1:20" ht="13.8" thickBot="1" x14ac:dyDescent="0.3">
      <c r="A41" s="876"/>
      <c r="B41" s="4"/>
      <c r="C41" s="23"/>
      <c r="D41" s="23"/>
      <c r="E41" s="23"/>
      <c r="I41" s="23"/>
      <c r="J41" s="23"/>
      <c r="K41" s="105"/>
      <c r="L41" s="105"/>
      <c r="M41" s="105"/>
      <c r="N41" s="27"/>
      <c r="O41" s="27"/>
      <c r="P41" s="27"/>
      <c r="Q41" s="2"/>
    </row>
    <row r="42" spans="1:20" ht="13.8" thickTop="1" x14ac:dyDescent="0.25">
      <c r="A42" s="876"/>
      <c r="B42" s="502"/>
      <c r="C42" s="503"/>
      <c r="D42" s="503"/>
      <c r="E42" s="503"/>
      <c r="F42" s="1040"/>
      <c r="G42" s="1040"/>
      <c r="H42" s="1040"/>
      <c r="K42" s="455" t="s">
        <v>547</v>
      </c>
      <c r="L42" s="456" t="s">
        <v>9</v>
      </c>
      <c r="M42" s="503"/>
      <c r="N42" s="740"/>
      <c r="O42" s="504"/>
      <c r="P42" s="504"/>
      <c r="Q42" s="2"/>
      <c r="R42" s="27"/>
      <c r="S42" s="27"/>
      <c r="T42" s="27"/>
    </row>
    <row r="43" spans="1:20" ht="13.8" thickBot="1" x14ac:dyDescent="0.3">
      <c r="A43" s="894" t="s">
        <v>128</v>
      </c>
      <c r="B43" s="459"/>
      <c r="C43" s="460" t="s">
        <v>347</v>
      </c>
      <c r="D43" s="460" t="s">
        <v>722</v>
      </c>
      <c r="E43" s="461" t="s">
        <v>737</v>
      </c>
      <c r="K43" s="462" t="s">
        <v>909</v>
      </c>
      <c r="L43" s="462" t="s">
        <v>910</v>
      </c>
      <c r="M43" s="461" t="s">
        <v>1075</v>
      </c>
      <c r="N43" s="463" t="s">
        <v>1075</v>
      </c>
      <c r="O43" s="464" t="s">
        <v>1074</v>
      </c>
      <c r="P43" s="462"/>
      <c r="Q43" s="23"/>
      <c r="R43" s="27"/>
      <c r="S43" s="27"/>
      <c r="T43" s="27"/>
    </row>
    <row r="44" spans="1:20" ht="13.8" thickTop="1" x14ac:dyDescent="0.25">
      <c r="A44" s="906"/>
      <c r="B44" s="487"/>
      <c r="C44" s="488"/>
      <c r="D44" s="489"/>
      <c r="E44" s="489"/>
      <c r="K44" s="490"/>
      <c r="L44" s="466"/>
      <c r="M44" s="471"/>
      <c r="N44" s="477"/>
      <c r="O44" s="470"/>
      <c r="P44" s="471"/>
      <c r="Q44" s="23"/>
      <c r="R44" s="27"/>
      <c r="S44" s="27"/>
      <c r="T44" s="27"/>
    </row>
    <row r="45" spans="1:20" x14ac:dyDescent="0.25">
      <c r="A45" s="907">
        <v>5111</v>
      </c>
      <c r="B45" s="472" t="s">
        <v>688</v>
      </c>
      <c r="C45" s="476">
        <v>47211.5</v>
      </c>
      <c r="D45" s="481">
        <v>54648</v>
      </c>
      <c r="E45" s="481">
        <v>56574</v>
      </c>
      <c r="K45" s="475">
        <f>+M9</f>
        <v>114971</v>
      </c>
      <c r="L45" s="497">
        <f>+O9</f>
        <v>117307</v>
      </c>
      <c r="M45" s="471">
        <f t="shared" ref="M45:M54" si="8">+L45-K45</f>
        <v>2336</v>
      </c>
      <c r="N45" s="477">
        <f t="shared" ref="N45:N54" si="9">IF(K45+L45&lt;&gt;0,IF(K45&lt;&gt;0,IF(M45&lt;&gt;0,ROUND((+M45/K45),4),""),1),"")</f>
        <v>2.0299999999999999E-2</v>
      </c>
      <c r="O45" s="470"/>
      <c r="P45" s="471"/>
      <c r="Q45" s="23"/>
      <c r="R45" s="27"/>
      <c r="S45" s="27"/>
      <c r="T45" s="27"/>
    </row>
    <row r="46" spans="1:20" x14ac:dyDescent="0.25">
      <c r="A46" s="907">
        <v>5113</v>
      </c>
      <c r="B46" s="472" t="s">
        <v>689</v>
      </c>
      <c r="C46" s="476">
        <v>12608.24</v>
      </c>
      <c r="D46" s="476">
        <v>14529.42</v>
      </c>
      <c r="E46" s="476">
        <v>15036.46</v>
      </c>
      <c r="K46" s="475">
        <f>+M10</f>
        <v>0</v>
      </c>
      <c r="L46" s="496">
        <f>+O10</f>
        <v>0</v>
      </c>
      <c r="M46" s="471">
        <f t="shared" si="8"/>
        <v>0</v>
      </c>
      <c r="N46" s="477" t="str">
        <f t="shared" si="9"/>
        <v/>
      </c>
      <c r="O46" s="470"/>
      <c r="P46" s="471"/>
      <c r="Q46" s="23"/>
      <c r="R46" s="27"/>
      <c r="S46" s="27"/>
      <c r="T46" s="27"/>
    </row>
    <row r="47" spans="1:20" ht="13.8" thickBot="1" x14ac:dyDescent="0.3">
      <c r="A47" s="907">
        <v>5144</v>
      </c>
      <c r="B47" s="472" t="s">
        <v>157</v>
      </c>
      <c r="C47" s="474"/>
      <c r="D47" s="474"/>
      <c r="E47" s="474"/>
      <c r="K47" s="475">
        <f>+M11</f>
        <v>500</v>
      </c>
      <c r="L47" s="497">
        <f>+O11</f>
        <v>500</v>
      </c>
      <c r="M47" s="471">
        <f t="shared" si="8"/>
        <v>0</v>
      </c>
      <c r="N47" s="477" t="str">
        <f t="shared" si="9"/>
        <v/>
      </c>
      <c r="O47" s="470"/>
      <c r="P47" s="471"/>
      <c r="Q47" s="23"/>
      <c r="R47" s="27"/>
      <c r="S47" s="27"/>
      <c r="T47" s="27"/>
    </row>
    <row r="48" spans="1:20" x14ac:dyDescent="0.25">
      <c r="A48" s="907">
        <v>5145</v>
      </c>
      <c r="B48" s="472" t="s">
        <v>603</v>
      </c>
      <c r="C48" s="478"/>
      <c r="D48" s="478"/>
      <c r="E48" s="478"/>
      <c r="K48" s="475">
        <f>+M12</f>
        <v>0</v>
      </c>
      <c r="L48" s="497">
        <f>+O12</f>
        <v>300</v>
      </c>
      <c r="M48" s="471">
        <f t="shared" ref="M48" si="10">+L48-K48</f>
        <v>300</v>
      </c>
      <c r="N48" s="477">
        <f t="shared" ref="N48" si="11">IF(K48+L48&lt;&gt;0,IF(K48&lt;&gt;0,IF(M48&lt;&gt;0,ROUND((+M48/K48),4),""),1),"")</f>
        <v>1</v>
      </c>
      <c r="O48" s="470" t="s">
        <v>1710</v>
      </c>
      <c r="P48" s="471"/>
      <c r="Q48" s="23"/>
      <c r="R48" s="27"/>
      <c r="S48" s="27"/>
      <c r="T48" s="27"/>
    </row>
    <row r="49" spans="1:20" hidden="1" x14ac:dyDescent="0.25">
      <c r="A49" s="907">
        <v>5247</v>
      </c>
      <c r="B49" s="472" t="s">
        <v>392</v>
      </c>
      <c r="C49" s="476">
        <v>400</v>
      </c>
      <c r="D49" s="476">
        <v>0</v>
      </c>
      <c r="E49" s="476"/>
      <c r="K49" s="475">
        <f>+M15</f>
        <v>0</v>
      </c>
      <c r="L49" s="497">
        <f t="shared" ref="L49:L62" si="12">+O15</f>
        <v>0</v>
      </c>
      <c r="M49" s="471">
        <f t="shared" si="8"/>
        <v>0</v>
      </c>
      <c r="N49" s="477" t="str">
        <f t="shared" si="9"/>
        <v/>
      </c>
      <c r="O49" s="470"/>
      <c r="P49" s="471"/>
      <c r="Q49" s="23"/>
      <c r="R49" s="27"/>
      <c r="S49" s="27"/>
      <c r="T49" s="27"/>
    </row>
    <row r="50" spans="1:20" hidden="1" x14ac:dyDescent="0.25">
      <c r="A50" s="907">
        <v>5300</v>
      </c>
      <c r="B50" s="472" t="s">
        <v>1040</v>
      </c>
      <c r="C50" s="476"/>
      <c r="D50" s="476"/>
      <c r="E50" s="476"/>
      <c r="K50" s="475">
        <f>+M14</f>
        <v>0</v>
      </c>
      <c r="L50" s="497">
        <f t="shared" si="12"/>
        <v>0</v>
      </c>
      <c r="M50" s="471">
        <f t="shared" si="8"/>
        <v>0</v>
      </c>
      <c r="N50" s="477" t="str">
        <f t="shared" si="9"/>
        <v/>
      </c>
      <c r="O50" s="470"/>
      <c r="P50" s="471"/>
      <c r="Q50" s="23"/>
      <c r="R50" s="27"/>
      <c r="S50" s="27"/>
      <c r="T50" s="27"/>
    </row>
    <row r="51" spans="1:20" x14ac:dyDescent="0.25">
      <c r="A51" s="907">
        <v>5314</v>
      </c>
      <c r="B51" s="472" t="s">
        <v>139</v>
      </c>
      <c r="C51" s="476">
        <v>465</v>
      </c>
      <c r="D51" s="476">
        <v>190</v>
      </c>
      <c r="E51" s="476">
        <v>299</v>
      </c>
      <c r="K51" s="469">
        <f>+M17</f>
        <v>1000</v>
      </c>
      <c r="L51" s="497">
        <f t="shared" si="12"/>
        <v>3550</v>
      </c>
      <c r="M51" s="471">
        <f t="shared" si="8"/>
        <v>2550</v>
      </c>
      <c r="N51" s="477">
        <f t="shared" si="9"/>
        <v>2.5499999999999998</v>
      </c>
      <c r="O51" s="470" t="s">
        <v>1711</v>
      </c>
      <c r="P51" s="471"/>
      <c r="Q51" s="23"/>
      <c r="R51" s="27"/>
      <c r="S51" s="27"/>
      <c r="T51" s="27"/>
    </row>
    <row r="52" spans="1:20" hidden="1" x14ac:dyDescent="0.25">
      <c r="A52" s="907">
        <v>5341</v>
      </c>
      <c r="B52" s="472" t="s">
        <v>141</v>
      </c>
      <c r="C52" s="476">
        <v>218.95</v>
      </c>
      <c r="D52" s="476">
        <v>207.97</v>
      </c>
      <c r="E52" s="476">
        <v>210.96</v>
      </c>
      <c r="K52" s="469">
        <f>+K18</f>
        <v>0</v>
      </c>
      <c r="L52" s="497">
        <f t="shared" si="12"/>
        <v>0</v>
      </c>
      <c r="M52" s="471">
        <f t="shared" si="8"/>
        <v>0</v>
      </c>
      <c r="N52" s="477" t="str">
        <f t="shared" si="9"/>
        <v/>
      </c>
      <c r="O52" s="470"/>
      <c r="P52" s="471"/>
      <c r="Q52" s="23"/>
      <c r="R52" s="27"/>
      <c r="S52" s="27"/>
      <c r="T52" s="27"/>
    </row>
    <row r="53" spans="1:20" x14ac:dyDescent="0.25">
      <c r="A53" s="907">
        <v>5344</v>
      </c>
      <c r="B53" s="472" t="s">
        <v>142</v>
      </c>
      <c r="C53" s="476">
        <v>324.27999999999997</v>
      </c>
      <c r="D53" s="476">
        <v>435.35</v>
      </c>
      <c r="E53" s="476">
        <v>425.43</v>
      </c>
      <c r="K53" s="469">
        <f t="shared" ref="K53:K62" si="13">+M19</f>
        <v>550</v>
      </c>
      <c r="L53" s="497">
        <f t="shared" si="12"/>
        <v>550</v>
      </c>
      <c r="M53" s="471">
        <f t="shared" si="8"/>
        <v>0</v>
      </c>
      <c r="N53" s="477" t="str">
        <f t="shared" si="9"/>
        <v/>
      </c>
      <c r="O53" s="470"/>
      <c r="P53" s="471"/>
      <c r="Q53" s="23"/>
      <c r="R53" s="27"/>
      <c r="S53" s="27"/>
      <c r="T53" s="27"/>
    </row>
    <row r="54" spans="1:20" x14ac:dyDescent="0.25">
      <c r="A54" s="907">
        <v>5345</v>
      </c>
      <c r="B54" s="472" t="s">
        <v>143</v>
      </c>
      <c r="C54" s="478">
        <v>1089.3399999999999</v>
      </c>
      <c r="D54" s="478">
        <v>1702.95</v>
      </c>
      <c r="E54" s="478">
        <v>1256.99</v>
      </c>
      <c r="K54" s="469">
        <f t="shared" si="13"/>
        <v>1650</v>
      </c>
      <c r="L54" s="497">
        <f t="shared" si="12"/>
        <v>1650</v>
      </c>
      <c r="M54" s="471">
        <f t="shared" si="8"/>
        <v>0</v>
      </c>
      <c r="N54" s="477" t="str">
        <f t="shared" si="9"/>
        <v/>
      </c>
      <c r="O54" s="470"/>
      <c r="P54" s="471"/>
      <c r="Q54" s="23"/>
      <c r="R54" s="27"/>
      <c r="S54" s="27"/>
      <c r="T54" s="27"/>
    </row>
    <row r="55" spans="1:20" x14ac:dyDescent="0.25">
      <c r="A55" s="907">
        <v>5350</v>
      </c>
      <c r="B55" s="472" t="s">
        <v>1254</v>
      </c>
      <c r="C55" s="478"/>
      <c r="D55" s="478"/>
      <c r="E55" s="478"/>
      <c r="K55" s="469">
        <f t="shared" si="13"/>
        <v>1500</v>
      </c>
      <c r="L55" s="497">
        <f t="shared" si="12"/>
        <v>1500</v>
      </c>
      <c r="M55" s="471"/>
      <c r="N55" s="477"/>
      <c r="O55" s="470" t="s">
        <v>1712</v>
      </c>
      <c r="P55" s="471"/>
      <c r="Q55" s="23"/>
      <c r="R55" s="27"/>
      <c r="S55" s="27"/>
      <c r="T55" s="27"/>
    </row>
    <row r="56" spans="1:20" x14ac:dyDescent="0.25">
      <c r="A56" s="907">
        <v>5380</v>
      </c>
      <c r="B56" s="472" t="s">
        <v>442</v>
      </c>
      <c r="C56" s="476">
        <v>250</v>
      </c>
      <c r="D56" s="476">
        <v>107.43</v>
      </c>
      <c r="E56" s="476">
        <v>1039</v>
      </c>
      <c r="K56" s="469">
        <f t="shared" si="13"/>
        <v>300</v>
      </c>
      <c r="L56" s="497">
        <f t="shared" si="12"/>
        <v>1000</v>
      </c>
      <c r="M56" s="471">
        <f t="shared" ref="M56:M62" si="14">+L56-K56</f>
        <v>700</v>
      </c>
      <c r="N56" s="477">
        <f t="shared" ref="N56:N62" si="15">IF(K56+L56&lt;&gt;0,IF(K56&lt;&gt;0,IF(M56&lt;&gt;0,ROUND((+M56/K56),4),""),1),"")</f>
        <v>2.3332999999999999</v>
      </c>
      <c r="O56" s="470" t="s">
        <v>1713</v>
      </c>
      <c r="P56" s="471"/>
      <c r="Q56" s="23"/>
      <c r="R56" s="27"/>
      <c r="S56" s="27"/>
      <c r="T56" s="27"/>
    </row>
    <row r="57" spans="1:20" x14ac:dyDescent="0.25">
      <c r="A57" s="907">
        <v>5420</v>
      </c>
      <c r="B57" s="472" t="s">
        <v>144</v>
      </c>
      <c r="C57" s="468">
        <v>405.65</v>
      </c>
      <c r="D57" s="468">
        <v>755.61</v>
      </c>
      <c r="E57" s="468">
        <v>524.92999999999995</v>
      </c>
      <c r="K57" s="469">
        <f t="shared" si="13"/>
        <v>750</v>
      </c>
      <c r="L57" s="497">
        <f t="shared" si="12"/>
        <v>750</v>
      </c>
      <c r="M57" s="471">
        <f t="shared" si="14"/>
        <v>0</v>
      </c>
      <c r="N57" s="477" t="str">
        <f t="shared" si="15"/>
        <v/>
      </c>
      <c r="O57" s="470"/>
      <c r="P57" s="471"/>
      <c r="Q57" s="23"/>
      <c r="R57" s="27"/>
      <c r="S57" s="27"/>
      <c r="T57" s="27"/>
    </row>
    <row r="58" spans="1:20" x14ac:dyDescent="0.25">
      <c r="A58" s="907">
        <v>5490</v>
      </c>
      <c r="B58" s="472" t="s">
        <v>23</v>
      </c>
      <c r="C58" s="476">
        <v>141.15</v>
      </c>
      <c r="D58" s="468">
        <v>0</v>
      </c>
      <c r="E58" s="468">
        <v>36.04</v>
      </c>
      <c r="K58" s="469">
        <f t="shared" si="13"/>
        <v>0</v>
      </c>
      <c r="L58" s="497">
        <f t="shared" si="12"/>
        <v>0</v>
      </c>
      <c r="M58" s="471">
        <f t="shared" si="14"/>
        <v>0</v>
      </c>
      <c r="N58" s="477" t="str">
        <f t="shared" si="15"/>
        <v/>
      </c>
      <c r="O58" s="470"/>
      <c r="P58" s="471"/>
      <c r="Q58" s="23"/>
      <c r="R58" s="27"/>
      <c r="S58" s="27"/>
      <c r="T58" s="27"/>
    </row>
    <row r="59" spans="1:20" x14ac:dyDescent="0.25">
      <c r="A59" s="907">
        <v>5581</v>
      </c>
      <c r="B59" s="472" t="s">
        <v>146</v>
      </c>
      <c r="C59" s="476">
        <v>273.77999999999997</v>
      </c>
      <c r="D59" s="476">
        <v>176.8</v>
      </c>
      <c r="E59" s="476">
        <v>258.3</v>
      </c>
      <c r="K59" s="469">
        <f t="shared" si="13"/>
        <v>200</v>
      </c>
      <c r="L59" s="497">
        <f t="shared" si="12"/>
        <v>200</v>
      </c>
      <c r="M59" s="471">
        <f t="shared" si="14"/>
        <v>0</v>
      </c>
      <c r="N59" s="477" t="str">
        <f t="shared" si="15"/>
        <v/>
      </c>
      <c r="O59" s="470"/>
      <c r="P59" s="471"/>
      <c r="Q59" s="23"/>
      <c r="R59" s="27"/>
      <c r="S59" s="27"/>
      <c r="T59" s="27"/>
    </row>
    <row r="60" spans="1:20" x14ac:dyDescent="0.25">
      <c r="A60" s="907">
        <v>5590</v>
      </c>
      <c r="B60" s="492" t="s">
        <v>559</v>
      </c>
      <c r="C60" s="476">
        <v>107.45</v>
      </c>
      <c r="D60" s="476">
        <v>288.33</v>
      </c>
      <c r="E60" s="476"/>
      <c r="K60" s="469">
        <f t="shared" si="13"/>
        <v>350</v>
      </c>
      <c r="L60" s="497">
        <f t="shared" si="12"/>
        <v>350</v>
      </c>
      <c r="M60" s="471">
        <f t="shared" si="14"/>
        <v>0</v>
      </c>
      <c r="N60" s="477" t="str">
        <f t="shared" si="15"/>
        <v/>
      </c>
      <c r="O60" s="470"/>
      <c r="P60" s="471"/>
      <c r="Q60" s="23"/>
      <c r="R60" s="4"/>
      <c r="S60" s="4"/>
      <c r="T60" s="4"/>
    </row>
    <row r="61" spans="1:20" x14ac:dyDescent="0.25">
      <c r="A61" s="907">
        <v>5710</v>
      </c>
      <c r="B61" s="472" t="s">
        <v>535</v>
      </c>
      <c r="C61" s="468">
        <v>399.34</v>
      </c>
      <c r="D61" s="468">
        <v>407.12</v>
      </c>
      <c r="E61" s="468">
        <v>397.89</v>
      </c>
      <c r="K61" s="469">
        <f t="shared" si="13"/>
        <v>900</v>
      </c>
      <c r="L61" s="497">
        <f t="shared" si="12"/>
        <v>900</v>
      </c>
      <c r="M61" s="471">
        <f t="shared" si="14"/>
        <v>0</v>
      </c>
      <c r="N61" s="477" t="str">
        <f t="shared" si="15"/>
        <v/>
      </c>
      <c r="O61" s="470"/>
      <c r="P61" s="471"/>
      <c r="Q61" s="23"/>
      <c r="R61" s="4"/>
      <c r="S61" s="4"/>
      <c r="T61" s="4"/>
    </row>
    <row r="62" spans="1:20" ht="13.8" thickBot="1" x14ac:dyDescent="0.3">
      <c r="A62" s="907">
        <v>5730</v>
      </c>
      <c r="B62" s="472" t="s">
        <v>147</v>
      </c>
      <c r="C62" s="474">
        <v>401</v>
      </c>
      <c r="D62" s="474">
        <v>594.5</v>
      </c>
      <c r="E62" s="474">
        <v>551</v>
      </c>
      <c r="K62" s="469">
        <f t="shared" si="13"/>
        <v>450</v>
      </c>
      <c r="L62" s="497">
        <f t="shared" si="12"/>
        <v>450</v>
      </c>
      <c r="M62" s="471">
        <f t="shared" si="14"/>
        <v>0</v>
      </c>
      <c r="N62" s="477" t="str">
        <f t="shared" si="15"/>
        <v/>
      </c>
      <c r="O62" s="470"/>
      <c r="P62" s="471"/>
      <c r="Q62" s="23"/>
      <c r="R62" s="4"/>
      <c r="S62" s="4"/>
      <c r="T62" s="4"/>
    </row>
    <row r="63" spans="1:20" x14ac:dyDescent="0.25">
      <c r="A63" s="876"/>
      <c r="B63" s="4"/>
      <c r="C63" s="23"/>
      <c r="D63" s="23"/>
      <c r="E63" s="23"/>
      <c r="F63" s="23"/>
      <c r="G63" s="23"/>
      <c r="K63" s="23"/>
      <c r="L63" s="23"/>
      <c r="M63" s="23"/>
      <c r="N63" s="4"/>
      <c r="O63" s="23"/>
      <c r="P63" s="23"/>
      <c r="Q63" s="23"/>
      <c r="R63" s="4"/>
      <c r="S63" s="4"/>
      <c r="T63" s="4"/>
    </row>
    <row r="64" spans="1:20" x14ac:dyDescent="0.25">
      <c r="A64" s="876"/>
      <c r="B64" s="4" t="s">
        <v>1363</v>
      </c>
      <c r="C64" s="23"/>
      <c r="D64" s="23"/>
      <c r="E64" s="23"/>
      <c r="F64" s="23"/>
      <c r="G64" s="23"/>
      <c r="K64" s="742">
        <f>SUM(K45:K62)</f>
        <v>123121</v>
      </c>
      <c r="L64" s="742">
        <f>SUM(L45:L62)</f>
        <v>129007</v>
      </c>
      <c r="M64" s="202">
        <f>+L64-K64</f>
        <v>5886</v>
      </c>
      <c r="N64" s="743">
        <f>IF(K64+L64&lt;&gt;0,IF(K64&lt;&gt;0,IF(M64&lt;&gt;0,ROUND((+M64/K64),4),""),1),"")</f>
        <v>4.7800000000000002E-2</v>
      </c>
      <c r="O64" s="23"/>
      <c r="P64" s="23"/>
      <c r="Q64" s="23"/>
      <c r="R64" s="4"/>
      <c r="S64" s="4"/>
      <c r="T64" s="4"/>
    </row>
    <row r="65" spans="1:20" x14ac:dyDescent="0.25">
      <c r="A65" s="876"/>
      <c r="B65" s="4"/>
      <c r="C65" s="23"/>
      <c r="D65" s="23"/>
      <c r="E65" s="23"/>
      <c r="F65" s="23"/>
      <c r="G65" s="23"/>
      <c r="K65" s="23"/>
      <c r="L65" s="23"/>
      <c r="M65" s="23"/>
      <c r="N65" s="4"/>
      <c r="O65" s="23"/>
      <c r="P65" s="23"/>
      <c r="Q65" s="23"/>
      <c r="R65" s="4"/>
      <c r="S65" s="4"/>
      <c r="T65" s="4"/>
    </row>
    <row r="66" spans="1:20" x14ac:dyDescent="0.25">
      <c r="A66" s="876"/>
      <c r="B66" s="4"/>
      <c r="C66" s="23"/>
      <c r="D66" s="23"/>
      <c r="E66" s="23"/>
      <c r="F66" s="23"/>
      <c r="G66" s="23"/>
      <c r="I66" s="23"/>
      <c r="J66" s="23"/>
      <c r="K66" s="23"/>
      <c r="L66" s="23"/>
      <c r="M66" s="23"/>
      <c r="N66" s="4"/>
      <c r="O66" s="23"/>
      <c r="P66" s="23"/>
      <c r="Q66" s="23"/>
      <c r="R66" s="4"/>
      <c r="S66" s="4"/>
      <c r="T66" s="4"/>
    </row>
    <row r="67" spans="1:20" x14ac:dyDescent="0.25">
      <c r="A67" s="876"/>
      <c r="B67" s="4"/>
      <c r="C67" s="23"/>
      <c r="D67" s="23"/>
      <c r="E67" s="23"/>
      <c r="F67" s="23"/>
      <c r="G67" s="23"/>
      <c r="I67" s="23"/>
      <c r="J67" s="23"/>
      <c r="K67" s="23"/>
      <c r="L67" s="23"/>
      <c r="M67" s="23"/>
      <c r="N67" s="4"/>
      <c r="O67" s="23"/>
      <c r="P67" s="23"/>
      <c r="Q67" s="23"/>
      <c r="R67" s="4"/>
      <c r="S67" s="4"/>
      <c r="T67" s="4"/>
    </row>
    <row r="68" spans="1:20" x14ac:dyDescent="0.25">
      <c r="A68" s="876"/>
      <c r="B68" s="4"/>
      <c r="C68" s="23"/>
      <c r="D68" s="23"/>
      <c r="E68" s="23"/>
      <c r="F68" s="23"/>
      <c r="G68" s="23"/>
      <c r="H68" s="23"/>
      <c r="I68" s="23"/>
      <c r="J68" s="23"/>
      <c r="K68" s="23"/>
      <c r="L68" s="23"/>
      <c r="M68" s="23"/>
      <c r="N68" s="4"/>
      <c r="O68" s="23"/>
      <c r="P68" s="23"/>
      <c r="Q68" s="23"/>
      <c r="R68" s="4"/>
      <c r="S68" s="4"/>
      <c r="T68" s="4"/>
    </row>
    <row r="69" spans="1:20" x14ac:dyDescent="0.25">
      <c r="A69" s="876"/>
      <c r="B69" s="4"/>
      <c r="C69" s="23"/>
      <c r="D69" s="23"/>
      <c r="E69" s="23"/>
      <c r="F69" s="23"/>
      <c r="G69" s="23"/>
      <c r="H69" s="23"/>
      <c r="I69" s="23"/>
      <c r="J69" s="23"/>
      <c r="K69" s="23"/>
      <c r="L69" s="23"/>
      <c r="M69" s="23"/>
      <c r="N69" s="4"/>
      <c r="O69" s="23"/>
      <c r="P69" s="23"/>
      <c r="Q69" s="23"/>
      <c r="R69" s="4"/>
      <c r="S69" s="4"/>
      <c r="T69" s="4"/>
    </row>
    <row r="70" spans="1:20" x14ac:dyDescent="0.25">
      <c r="A70" s="876"/>
      <c r="B70" s="4"/>
      <c r="C70" s="23"/>
      <c r="D70" s="23"/>
      <c r="E70" s="23"/>
      <c r="F70" s="23"/>
      <c r="G70" s="23"/>
      <c r="H70" s="23"/>
      <c r="I70" s="23"/>
      <c r="J70" s="23"/>
      <c r="K70" s="23"/>
      <c r="L70" s="23"/>
      <c r="M70" s="23"/>
      <c r="N70" s="4"/>
      <c r="O70" s="23"/>
      <c r="P70" s="23"/>
      <c r="Q70" s="23"/>
      <c r="R70" s="4"/>
      <c r="S70" s="4"/>
      <c r="T70" s="4"/>
    </row>
    <row r="71" spans="1:20" x14ac:dyDescent="0.25">
      <c r="A71" s="876"/>
      <c r="B71" s="4"/>
      <c r="C71" s="23"/>
      <c r="D71" s="23"/>
      <c r="E71" s="23"/>
      <c r="F71" s="23"/>
      <c r="G71" s="23"/>
      <c r="H71" s="23"/>
      <c r="I71" s="23"/>
      <c r="J71" s="23"/>
      <c r="K71" s="23"/>
      <c r="L71" s="23"/>
      <c r="M71" s="23"/>
      <c r="N71" s="4"/>
      <c r="O71" s="23"/>
      <c r="P71" s="23"/>
      <c r="Q71" s="23"/>
      <c r="R71" s="4"/>
      <c r="S71" s="4"/>
      <c r="T71" s="4"/>
    </row>
    <row r="72" spans="1:20" x14ac:dyDescent="0.25">
      <c r="A72" s="876"/>
      <c r="B72" s="4"/>
      <c r="C72" s="23"/>
      <c r="D72" s="23"/>
      <c r="E72" s="23"/>
      <c r="F72" s="23"/>
      <c r="G72" s="23"/>
      <c r="H72" s="23"/>
      <c r="I72" s="23"/>
      <c r="J72" s="23"/>
      <c r="K72" s="23"/>
      <c r="L72" s="23"/>
      <c r="M72" s="23"/>
      <c r="N72" s="4"/>
      <c r="O72" s="23"/>
      <c r="P72" s="23"/>
      <c r="Q72" s="23"/>
      <c r="R72" s="4"/>
      <c r="S72" s="4"/>
      <c r="T72" s="4"/>
    </row>
    <row r="73" spans="1:20" x14ac:dyDescent="0.25">
      <c r="A73" s="876"/>
      <c r="B73" s="4"/>
      <c r="C73" s="23"/>
      <c r="D73" s="23"/>
      <c r="E73" s="23"/>
      <c r="F73" s="23"/>
      <c r="G73" s="23"/>
      <c r="H73" s="23"/>
      <c r="I73" s="23"/>
      <c r="J73" s="23"/>
      <c r="K73" s="23"/>
      <c r="L73" s="23"/>
      <c r="M73" s="23"/>
      <c r="N73" s="4"/>
      <c r="O73" s="23"/>
      <c r="P73" s="23"/>
      <c r="Q73" s="23"/>
      <c r="R73" s="4"/>
      <c r="S73" s="4"/>
      <c r="T73" s="4"/>
    </row>
    <row r="74" spans="1:20" x14ac:dyDescent="0.25">
      <c r="A74" s="876"/>
      <c r="B74" s="4"/>
      <c r="C74" s="23"/>
      <c r="D74" s="23"/>
      <c r="E74" s="23"/>
      <c r="F74" s="23"/>
      <c r="G74" s="23"/>
      <c r="H74" s="23"/>
      <c r="I74" s="23"/>
      <c r="J74" s="23"/>
      <c r="K74" s="23"/>
      <c r="L74" s="23"/>
      <c r="M74" s="23"/>
      <c r="N74" s="4"/>
      <c r="O74" s="23"/>
      <c r="P74" s="23"/>
      <c r="Q74" s="23"/>
      <c r="R74" s="4"/>
      <c r="S74" s="4"/>
      <c r="T74" s="4"/>
    </row>
    <row r="75" spans="1:20" x14ac:dyDescent="0.25">
      <c r="A75" s="876"/>
      <c r="B75" s="4"/>
      <c r="C75" s="23"/>
      <c r="D75" s="23"/>
      <c r="E75" s="23"/>
      <c r="F75" s="23"/>
      <c r="G75" s="23"/>
      <c r="H75" s="23"/>
      <c r="I75" s="23"/>
      <c r="J75" s="23"/>
      <c r="K75" s="23"/>
      <c r="L75" s="23"/>
      <c r="M75" s="23"/>
      <c r="N75" s="4"/>
      <c r="O75" s="23"/>
      <c r="P75" s="23"/>
      <c r="Q75" s="23"/>
      <c r="R75" s="4"/>
      <c r="S75" s="4"/>
      <c r="T75" s="4"/>
    </row>
    <row r="76" spans="1:20" x14ac:dyDescent="0.25">
      <c r="A76" s="876"/>
      <c r="B76" s="4"/>
      <c r="C76" s="23"/>
      <c r="D76" s="23"/>
      <c r="E76" s="23"/>
      <c r="F76" s="23"/>
      <c r="G76" s="23"/>
      <c r="H76" s="23"/>
      <c r="I76" s="23"/>
      <c r="J76" s="23"/>
      <c r="K76" s="23"/>
      <c r="L76" s="23"/>
      <c r="M76" s="23"/>
      <c r="N76" s="4"/>
      <c r="O76" s="23"/>
      <c r="P76" s="23"/>
      <c r="Q76" s="23"/>
      <c r="R76" s="4"/>
      <c r="S76" s="4"/>
      <c r="T76" s="4"/>
    </row>
    <row r="77" spans="1:20" x14ac:dyDescent="0.25">
      <c r="A77" s="876"/>
      <c r="B77" s="4"/>
      <c r="C77" s="23"/>
      <c r="D77" s="23"/>
      <c r="E77" s="23"/>
      <c r="F77" s="23"/>
      <c r="G77" s="23"/>
      <c r="H77" s="23"/>
      <c r="I77" s="23"/>
      <c r="J77" s="23"/>
      <c r="K77" s="23"/>
      <c r="L77" s="23"/>
      <c r="M77" s="23"/>
      <c r="N77" s="4"/>
      <c r="O77" s="23"/>
      <c r="P77" s="23"/>
      <c r="Q77" s="23"/>
      <c r="R77" s="4"/>
      <c r="S77" s="4"/>
      <c r="T77" s="4"/>
    </row>
    <row r="78" spans="1:20" x14ac:dyDescent="0.25">
      <c r="A78" s="876"/>
      <c r="B78" s="4"/>
      <c r="C78" s="23"/>
      <c r="D78" s="23"/>
      <c r="E78" s="23"/>
      <c r="F78" s="23"/>
      <c r="G78" s="23"/>
      <c r="H78" s="23"/>
      <c r="I78" s="23"/>
      <c r="J78" s="23"/>
      <c r="K78" s="23"/>
      <c r="L78" s="23"/>
      <c r="M78" s="23"/>
      <c r="N78" s="4"/>
      <c r="O78" s="23"/>
      <c r="P78" s="23"/>
      <c r="Q78" s="23"/>
      <c r="R78" s="4"/>
      <c r="S78" s="4"/>
      <c r="T78" s="4"/>
    </row>
    <row r="79" spans="1:20" x14ac:dyDescent="0.25">
      <c r="A79" s="876"/>
      <c r="B79" s="4"/>
      <c r="C79" s="23"/>
      <c r="D79" s="23"/>
      <c r="E79" s="23"/>
      <c r="F79" s="23"/>
      <c r="G79" s="23"/>
      <c r="H79" s="23"/>
      <c r="I79" s="23"/>
      <c r="J79" s="23"/>
      <c r="K79" s="23"/>
      <c r="L79" s="23"/>
      <c r="M79" s="23"/>
      <c r="N79" s="4"/>
      <c r="O79" s="23"/>
      <c r="P79" s="23"/>
      <c r="Q79" s="23"/>
      <c r="R79" s="4"/>
      <c r="S79" s="4"/>
      <c r="T79" s="4"/>
    </row>
    <row r="80" spans="1:20" x14ac:dyDescent="0.25">
      <c r="A80" s="876"/>
      <c r="B80" s="4"/>
      <c r="C80" s="23"/>
      <c r="D80" s="23"/>
      <c r="E80" s="23"/>
      <c r="F80" s="23"/>
      <c r="G80" s="23"/>
      <c r="H80" s="23"/>
      <c r="I80" s="23"/>
      <c r="J80" s="23"/>
      <c r="K80" s="23"/>
      <c r="L80" s="23"/>
      <c r="M80" s="23"/>
      <c r="N80" s="4"/>
      <c r="O80" s="23"/>
      <c r="P80" s="23"/>
      <c r="Q80" s="23"/>
      <c r="R80" s="4"/>
      <c r="S80" s="4"/>
      <c r="T80" s="4"/>
    </row>
    <row r="81" spans="1:20" x14ac:dyDescent="0.25">
      <c r="A81" s="876"/>
      <c r="B81" s="4"/>
      <c r="C81" s="23"/>
      <c r="D81" s="23"/>
      <c r="E81" s="23"/>
      <c r="F81" s="23"/>
      <c r="G81" s="23"/>
      <c r="H81" s="23"/>
      <c r="I81" s="23"/>
      <c r="J81" s="23"/>
      <c r="K81" s="23"/>
      <c r="L81" s="23"/>
      <c r="M81" s="23"/>
      <c r="N81" s="4"/>
      <c r="O81" s="23"/>
      <c r="P81" s="23"/>
      <c r="Q81" s="23"/>
      <c r="R81" s="4"/>
      <c r="S81" s="4"/>
      <c r="T81" s="4"/>
    </row>
    <row r="82" spans="1:20" x14ac:dyDescent="0.25">
      <c r="A82" s="876"/>
      <c r="B82" s="4"/>
      <c r="C82" s="23"/>
      <c r="D82" s="23"/>
      <c r="E82" s="23"/>
      <c r="F82" s="23"/>
      <c r="G82" s="23"/>
      <c r="H82" s="23"/>
      <c r="I82" s="23"/>
      <c r="J82" s="23"/>
      <c r="K82" s="23"/>
      <c r="L82" s="23"/>
      <c r="M82" s="23"/>
      <c r="N82" s="4"/>
      <c r="O82" s="23"/>
      <c r="P82" s="23"/>
      <c r="Q82" s="23"/>
      <c r="R82" s="4"/>
      <c r="S82" s="4"/>
      <c r="T82" s="4"/>
    </row>
    <row r="83" spans="1:20" x14ac:dyDescent="0.25">
      <c r="A83" s="876"/>
      <c r="B83" s="4"/>
      <c r="C83" s="23"/>
      <c r="D83" s="23"/>
      <c r="E83" s="23"/>
      <c r="F83" s="23"/>
      <c r="G83" s="23"/>
      <c r="H83" s="23"/>
      <c r="I83" s="23"/>
      <c r="J83" s="23"/>
      <c r="K83" s="23"/>
      <c r="L83" s="23"/>
      <c r="M83" s="23"/>
      <c r="N83" s="4"/>
      <c r="O83" s="23"/>
      <c r="P83" s="23"/>
      <c r="Q83" s="23"/>
      <c r="R83" s="4"/>
      <c r="S83" s="4"/>
      <c r="T83" s="4"/>
    </row>
    <row r="84" spans="1:20" x14ac:dyDescent="0.25">
      <c r="A84" s="876"/>
      <c r="B84" s="4"/>
      <c r="C84" s="23"/>
      <c r="D84" s="23"/>
      <c r="E84" s="23"/>
      <c r="F84" s="23"/>
      <c r="G84" s="23"/>
      <c r="H84" s="23"/>
      <c r="I84" s="23"/>
      <c r="J84" s="23"/>
      <c r="K84" s="23"/>
      <c r="L84" s="23"/>
      <c r="M84" s="23"/>
      <c r="N84" s="4"/>
      <c r="O84" s="23"/>
      <c r="P84" s="23"/>
      <c r="Q84" s="23"/>
      <c r="R84" s="4"/>
      <c r="S84" s="4"/>
      <c r="T84" s="4"/>
    </row>
    <row r="85" spans="1:20" x14ac:dyDescent="0.25">
      <c r="A85" s="876"/>
      <c r="B85" s="4"/>
      <c r="C85" s="23"/>
      <c r="D85" s="23"/>
      <c r="E85" s="23"/>
      <c r="F85" s="23"/>
      <c r="G85" s="23"/>
      <c r="H85" s="23"/>
      <c r="I85" s="23"/>
      <c r="J85" s="23"/>
      <c r="K85" s="23"/>
      <c r="L85" s="23"/>
      <c r="M85" s="23"/>
      <c r="N85" s="4"/>
      <c r="O85" s="23"/>
      <c r="P85" s="23"/>
      <c r="Q85" s="23"/>
      <c r="R85" s="4"/>
      <c r="S85" s="4"/>
      <c r="T85" s="4"/>
    </row>
    <row r="86" spans="1:20" x14ac:dyDescent="0.25">
      <c r="A86" s="876"/>
      <c r="B86" s="4"/>
      <c r="C86" s="23"/>
      <c r="D86" s="23"/>
      <c r="E86" s="23"/>
      <c r="F86" s="23"/>
      <c r="G86" s="23"/>
      <c r="H86" s="23"/>
      <c r="I86" s="23"/>
      <c r="J86" s="23"/>
      <c r="K86" s="23"/>
      <c r="L86" s="23"/>
      <c r="M86" s="23"/>
      <c r="N86" s="4"/>
      <c r="O86" s="23"/>
      <c r="P86" s="23"/>
      <c r="Q86" s="23"/>
      <c r="R86" s="4"/>
      <c r="S86" s="4"/>
      <c r="T86" s="4"/>
    </row>
    <row r="87" spans="1:20" x14ac:dyDescent="0.25">
      <c r="A87" s="876"/>
      <c r="B87" s="4"/>
      <c r="C87" s="23"/>
      <c r="D87" s="23"/>
      <c r="E87" s="23"/>
      <c r="F87" s="23"/>
      <c r="G87" s="23"/>
      <c r="H87" s="23"/>
      <c r="I87" s="23"/>
      <c r="J87" s="23"/>
      <c r="K87" s="23"/>
      <c r="L87" s="23"/>
      <c r="M87" s="23"/>
      <c r="N87" s="4"/>
      <c r="O87" s="23"/>
      <c r="P87" s="23"/>
      <c r="Q87" s="23"/>
      <c r="R87" s="4"/>
      <c r="S87" s="4"/>
      <c r="T87" s="4"/>
    </row>
    <row r="88" spans="1:20" x14ac:dyDescent="0.25">
      <c r="A88" s="876"/>
      <c r="B88" s="4"/>
      <c r="C88" s="23"/>
      <c r="D88" s="23"/>
      <c r="E88" s="23"/>
      <c r="F88" s="23"/>
      <c r="G88" s="23"/>
      <c r="H88" s="23"/>
      <c r="I88" s="23"/>
      <c r="J88" s="23"/>
      <c r="K88" s="23"/>
      <c r="L88" s="23"/>
      <c r="M88" s="23"/>
      <c r="N88" s="4"/>
      <c r="O88" s="23"/>
      <c r="P88" s="23"/>
      <c r="Q88" s="23"/>
      <c r="R88" s="4"/>
      <c r="S88" s="4"/>
      <c r="T88" s="4"/>
    </row>
    <row r="89" spans="1:20" x14ac:dyDescent="0.25">
      <c r="A89" s="876"/>
      <c r="B89" s="4"/>
      <c r="C89" s="23"/>
      <c r="D89" s="23"/>
      <c r="E89" s="23"/>
      <c r="F89" s="23"/>
      <c r="G89" s="23"/>
      <c r="H89" s="23"/>
      <c r="I89" s="23"/>
      <c r="J89" s="23"/>
      <c r="K89" s="23"/>
      <c r="L89" s="23"/>
      <c r="M89" s="23"/>
      <c r="N89" s="4"/>
      <c r="O89" s="23"/>
      <c r="P89" s="23"/>
      <c r="Q89" s="23"/>
      <c r="R89" s="4"/>
      <c r="S89" s="4"/>
      <c r="T89" s="4"/>
    </row>
    <row r="90" spans="1:20" x14ac:dyDescent="0.25">
      <c r="A90" s="876"/>
      <c r="B90" s="4"/>
      <c r="C90" s="23"/>
      <c r="D90" s="23"/>
      <c r="E90" s="23"/>
      <c r="F90" s="23"/>
      <c r="G90" s="23"/>
      <c r="H90" s="23"/>
      <c r="I90" s="23"/>
      <c r="J90" s="23"/>
      <c r="K90" s="23"/>
      <c r="L90" s="23"/>
      <c r="M90" s="23"/>
      <c r="N90" s="4"/>
      <c r="O90" s="23"/>
      <c r="P90" s="23"/>
      <c r="Q90" s="23"/>
      <c r="R90" s="4"/>
      <c r="S90" s="4"/>
      <c r="T90" s="4"/>
    </row>
    <row r="91" spans="1:20" x14ac:dyDescent="0.25">
      <c r="A91" s="876"/>
      <c r="B91" s="4"/>
      <c r="C91" s="23"/>
      <c r="D91" s="23"/>
      <c r="E91" s="23"/>
      <c r="F91" s="23"/>
      <c r="G91" s="23"/>
      <c r="H91" s="23"/>
      <c r="I91" s="23"/>
      <c r="J91" s="23"/>
      <c r="K91" s="23"/>
      <c r="L91" s="23"/>
      <c r="M91" s="23"/>
      <c r="N91" s="4"/>
      <c r="O91" s="23"/>
      <c r="P91" s="23"/>
      <c r="Q91" s="23"/>
      <c r="R91" s="4"/>
      <c r="S91" s="4"/>
      <c r="T91" s="4"/>
    </row>
    <row r="92" spans="1:20" x14ac:dyDescent="0.25">
      <c r="A92" s="876"/>
      <c r="B92" s="4"/>
      <c r="C92" s="23"/>
      <c r="D92" s="23"/>
      <c r="E92" s="23"/>
      <c r="F92" s="23"/>
      <c r="G92" s="23"/>
      <c r="H92" s="23"/>
      <c r="I92" s="23"/>
      <c r="J92" s="23"/>
      <c r="K92" s="23"/>
      <c r="L92" s="23"/>
      <c r="M92" s="23"/>
      <c r="N92" s="4"/>
      <c r="O92" s="23"/>
      <c r="P92" s="23"/>
      <c r="Q92" s="23"/>
      <c r="R92" s="4"/>
      <c r="S92" s="4"/>
      <c r="T92" s="4"/>
    </row>
    <row r="93" spans="1:20" x14ac:dyDescent="0.25">
      <c r="A93" s="876"/>
      <c r="B93" s="4"/>
      <c r="C93" s="23"/>
      <c r="D93" s="23"/>
      <c r="E93" s="23"/>
      <c r="F93" s="23"/>
      <c r="G93" s="23"/>
      <c r="H93" s="23"/>
      <c r="I93" s="23"/>
      <c r="J93" s="23"/>
      <c r="K93" s="23"/>
      <c r="L93" s="23"/>
      <c r="M93" s="23"/>
      <c r="N93" s="4"/>
      <c r="O93" s="23"/>
      <c r="P93" s="23"/>
      <c r="Q93" s="23"/>
      <c r="R93" s="4"/>
      <c r="S93" s="4"/>
      <c r="T93" s="4"/>
    </row>
    <row r="94" spans="1:20" x14ac:dyDescent="0.25">
      <c r="A94" s="876"/>
      <c r="B94" s="4"/>
      <c r="C94" s="23"/>
      <c r="D94" s="23"/>
      <c r="E94" s="23"/>
      <c r="F94" s="23"/>
      <c r="G94" s="23"/>
      <c r="H94" s="23"/>
      <c r="I94" s="23"/>
      <c r="J94" s="23"/>
      <c r="K94" s="23"/>
      <c r="L94" s="23"/>
      <c r="M94" s="23"/>
      <c r="N94" s="4"/>
      <c r="O94" s="23"/>
      <c r="P94" s="23"/>
      <c r="Q94" s="23"/>
      <c r="R94" s="4"/>
      <c r="S94" s="4"/>
      <c r="T94" s="4"/>
    </row>
    <row r="95" spans="1:20" x14ac:dyDescent="0.25">
      <c r="A95" s="876"/>
      <c r="B95" s="4"/>
      <c r="C95" s="23"/>
      <c r="D95" s="23"/>
      <c r="E95" s="23"/>
      <c r="F95" s="23"/>
      <c r="G95" s="23"/>
      <c r="H95" s="23"/>
      <c r="I95" s="23"/>
      <c r="J95" s="23"/>
      <c r="K95" s="23"/>
      <c r="L95" s="23"/>
      <c r="M95" s="23"/>
      <c r="N95" s="4"/>
      <c r="O95" s="23"/>
      <c r="P95" s="23"/>
      <c r="Q95" s="23"/>
      <c r="R95" s="4"/>
      <c r="S95" s="4"/>
      <c r="T95" s="4"/>
    </row>
    <row r="96" spans="1:20" x14ac:dyDescent="0.25">
      <c r="A96" s="876"/>
      <c r="B96" s="4"/>
      <c r="C96" s="23"/>
      <c r="D96" s="23"/>
      <c r="E96" s="23"/>
      <c r="F96" s="23"/>
      <c r="G96" s="23"/>
      <c r="H96" s="23"/>
      <c r="I96" s="23"/>
      <c r="J96" s="23"/>
      <c r="K96" s="23"/>
      <c r="L96" s="23"/>
      <c r="M96" s="23"/>
      <c r="N96" s="4"/>
      <c r="O96" s="23"/>
      <c r="P96" s="23"/>
      <c r="Q96" s="23"/>
      <c r="R96" s="4"/>
      <c r="S96" s="4"/>
      <c r="T96" s="4"/>
    </row>
    <row r="97" spans="1:20" x14ac:dyDescent="0.25">
      <c r="A97" s="876"/>
      <c r="B97" s="4"/>
      <c r="C97" s="23"/>
      <c r="D97" s="23"/>
      <c r="E97" s="23"/>
      <c r="F97" s="23"/>
      <c r="G97" s="23"/>
      <c r="H97" s="23"/>
      <c r="I97" s="23"/>
      <c r="J97" s="23"/>
      <c r="K97" s="23"/>
      <c r="L97" s="23"/>
      <c r="M97" s="23"/>
      <c r="N97" s="4"/>
      <c r="O97" s="23"/>
      <c r="P97" s="23"/>
      <c r="Q97" s="23"/>
      <c r="R97" s="4"/>
      <c r="S97" s="4"/>
      <c r="T97" s="4"/>
    </row>
    <row r="98" spans="1:20" x14ac:dyDescent="0.25">
      <c r="A98" s="876"/>
      <c r="B98" s="4"/>
      <c r="C98" s="23"/>
      <c r="D98" s="23"/>
      <c r="E98" s="23"/>
      <c r="F98" s="23"/>
      <c r="G98" s="23"/>
      <c r="H98" s="23"/>
      <c r="I98" s="23"/>
      <c r="J98" s="23"/>
      <c r="K98" s="23"/>
      <c r="L98" s="23"/>
      <c r="M98" s="23"/>
      <c r="N98" s="4"/>
      <c r="O98" s="23"/>
      <c r="P98" s="23"/>
      <c r="Q98" s="23"/>
      <c r="R98" s="4"/>
      <c r="S98" s="4"/>
      <c r="T98" s="4"/>
    </row>
    <row r="99" spans="1:20" x14ac:dyDescent="0.25">
      <c r="A99" s="876"/>
      <c r="B99" s="4"/>
      <c r="C99" s="23"/>
      <c r="D99" s="23"/>
      <c r="E99" s="23"/>
      <c r="F99" s="23"/>
      <c r="G99" s="23"/>
      <c r="H99" s="23"/>
      <c r="I99" s="23"/>
      <c r="J99" s="23"/>
      <c r="K99" s="23"/>
      <c r="L99" s="23"/>
      <c r="M99" s="23"/>
      <c r="N99" s="4"/>
      <c r="O99" s="23"/>
      <c r="P99" s="23"/>
      <c r="Q99" s="23"/>
      <c r="R99" s="4"/>
      <c r="S99" s="4"/>
      <c r="T99" s="4"/>
    </row>
    <row r="100" spans="1:20" x14ac:dyDescent="0.25">
      <c r="A100" s="876"/>
      <c r="B100" s="4"/>
      <c r="C100" s="23"/>
      <c r="D100" s="23"/>
      <c r="E100" s="23"/>
      <c r="F100" s="23"/>
      <c r="G100" s="23"/>
      <c r="H100" s="23"/>
      <c r="I100" s="23"/>
      <c r="J100" s="23"/>
      <c r="K100" s="23"/>
      <c r="L100" s="23"/>
      <c r="M100" s="23"/>
      <c r="N100" s="4"/>
      <c r="O100" s="23"/>
      <c r="P100" s="23"/>
      <c r="Q100" s="23"/>
      <c r="R100" s="4"/>
      <c r="S100" s="4"/>
      <c r="T100" s="4"/>
    </row>
    <row r="101" spans="1:20" x14ac:dyDescent="0.25">
      <c r="A101" s="876"/>
      <c r="B101" s="4"/>
      <c r="C101" s="23"/>
      <c r="D101" s="23"/>
      <c r="E101" s="23"/>
      <c r="F101" s="23"/>
      <c r="G101" s="23"/>
      <c r="H101" s="23"/>
      <c r="I101" s="23"/>
      <c r="J101" s="23"/>
      <c r="K101" s="23"/>
      <c r="L101" s="23"/>
      <c r="M101" s="23"/>
      <c r="N101" s="4"/>
      <c r="O101" s="23"/>
      <c r="P101" s="23"/>
      <c r="Q101" s="23"/>
      <c r="R101" s="4"/>
      <c r="S101" s="4"/>
      <c r="T101" s="4"/>
    </row>
    <row r="102" spans="1:20" x14ac:dyDescent="0.25">
      <c r="A102" s="876"/>
      <c r="B102" s="4"/>
      <c r="C102" s="23"/>
      <c r="D102" s="23"/>
      <c r="E102" s="23"/>
      <c r="F102" s="23"/>
      <c r="G102" s="23"/>
      <c r="H102" s="23"/>
      <c r="I102" s="23"/>
      <c r="J102" s="23"/>
      <c r="K102" s="23"/>
      <c r="L102" s="23"/>
      <c r="M102" s="23"/>
      <c r="N102" s="4"/>
      <c r="O102" s="23"/>
      <c r="P102" s="23"/>
      <c r="Q102" s="23"/>
      <c r="R102" s="4"/>
      <c r="S102" s="4"/>
      <c r="T102" s="4"/>
    </row>
    <row r="103" spans="1:20" x14ac:dyDescent="0.25">
      <c r="A103" s="876"/>
      <c r="B103" s="4"/>
      <c r="C103" s="23"/>
      <c r="D103" s="23"/>
      <c r="E103" s="23"/>
      <c r="F103" s="23"/>
      <c r="G103" s="23"/>
      <c r="H103" s="23"/>
      <c r="I103" s="23"/>
      <c r="J103" s="23"/>
      <c r="K103" s="23"/>
      <c r="L103" s="23"/>
      <c r="M103" s="23"/>
      <c r="N103" s="4"/>
      <c r="O103" s="23"/>
      <c r="P103" s="23"/>
      <c r="Q103" s="23"/>
      <c r="R103" s="4"/>
      <c r="S103" s="4"/>
      <c r="T103" s="4"/>
    </row>
    <row r="104" spans="1:20" x14ac:dyDescent="0.25">
      <c r="A104" s="876"/>
      <c r="B104" s="4"/>
      <c r="C104" s="23"/>
      <c r="D104" s="23"/>
      <c r="E104" s="23"/>
      <c r="F104" s="23"/>
      <c r="G104" s="23"/>
      <c r="H104" s="23"/>
      <c r="I104" s="23"/>
      <c r="J104" s="23"/>
      <c r="K104" s="23"/>
      <c r="L104" s="23"/>
      <c r="M104" s="23"/>
      <c r="N104" s="4"/>
      <c r="O104" s="23"/>
      <c r="P104" s="23"/>
      <c r="Q104" s="23"/>
      <c r="R104" s="4"/>
      <c r="S104" s="4"/>
      <c r="T104" s="4"/>
    </row>
    <row r="105" spans="1:20" x14ac:dyDescent="0.25">
      <c r="A105" s="876"/>
      <c r="B105" s="4"/>
      <c r="C105" s="23"/>
      <c r="D105" s="23"/>
      <c r="E105" s="23"/>
      <c r="F105" s="23"/>
      <c r="G105" s="23"/>
      <c r="H105" s="23"/>
      <c r="I105" s="23"/>
      <c r="J105" s="23"/>
      <c r="K105" s="23"/>
      <c r="L105" s="23"/>
      <c r="M105" s="23"/>
      <c r="N105" s="4"/>
      <c r="O105" s="23"/>
      <c r="P105" s="23"/>
      <c r="Q105" s="23"/>
      <c r="R105" s="4"/>
      <c r="S105" s="4"/>
      <c r="T105" s="4"/>
    </row>
    <row r="106" spans="1:20" x14ac:dyDescent="0.25">
      <c r="A106" s="876"/>
      <c r="B106" s="4"/>
      <c r="C106" s="23"/>
      <c r="D106" s="23"/>
      <c r="E106" s="23"/>
      <c r="F106" s="23"/>
      <c r="G106" s="23"/>
      <c r="H106" s="23"/>
      <c r="I106" s="23"/>
      <c r="J106" s="23"/>
      <c r="K106" s="23"/>
      <c r="L106" s="23"/>
      <c r="M106" s="23"/>
      <c r="N106" s="4"/>
      <c r="O106" s="23"/>
      <c r="P106" s="23"/>
      <c r="Q106" s="23"/>
      <c r="R106" s="4"/>
      <c r="S106" s="4"/>
      <c r="T106" s="4"/>
    </row>
    <row r="107" spans="1:20" x14ac:dyDescent="0.25">
      <c r="A107" s="876"/>
      <c r="B107" s="4"/>
      <c r="C107" s="23"/>
      <c r="D107" s="23"/>
      <c r="E107" s="23"/>
      <c r="F107" s="23"/>
      <c r="G107" s="23"/>
      <c r="H107" s="23"/>
      <c r="I107" s="23"/>
      <c r="J107" s="23"/>
      <c r="K107" s="23"/>
      <c r="L107" s="23"/>
      <c r="M107" s="23"/>
      <c r="N107" s="4"/>
      <c r="O107" s="23"/>
      <c r="P107" s="23"/>
      <c r="Q107" s="23"/>
      <c r="R107" s="4"/>
      <c r="S107" s="4"/>
      <c r="T107" s="4"/>
    </row>
    <row r="108" spans="1:20" x14ac:dyDescent="0.25">
      <c r="A108" s="876"/>
      <c r="B108" s="4"/>
      <c r="C108" s="23"/>
      <c r="D108" s="23"/>
      <c r="E108" s="23"/>
      <c r="F108" s="23"/>
      <c r="G108" s="23"/>
      <c r="H108" s="23"/>
      <c r="I108" s="23"/>
      <c r="J108" s="23"/>
      <c r="K108" s="23"/>
      <c r="L108" s="23"/>
      <c r="M108" s="23"/>
      <c r="N108" s="4"/>
      <c r="O108" s="23"/>
      <c r="P108" s="23"/>
      <c r="Q108" s="23"/>
      <c r="R108" s="4"/>
      <c r="S108" s="4"/>
      <c r="T108" s="4"/>
    </row>
    <row r="109" spans="1:20" x14ac:dyDescent="0.25">
      <c r="A109" s="876"/>
      <c r="B109" s="4"/>
      <c r="C109" s="23"/>
      <c r="D109" s="23"/>
      <c r="E109" s="23"/>
      <c r="F109" s="23"/>
      <c r="G109" s="23"/>
      <c r="H109" s="23"/>
      <c r="I109" s="23"/>
      <c r="J109" s="23"/>
      <c r="K109" s="23"/>
      <c r="L109" s="23"/>
      <c r="M109" s="23"/>
      <c r="N109" s="4"/>
      <c r="O109" s="23"/>
      <c r="P109" s="23"/>
      <c r="Q109" s="23"/>
      <c r="R109" s="4"/>
      <c r="S109" s="4"/>
      <c r="T109" s="4"/>
    </row>
    <row r="110" spans="1:20" x14ac:dyDescent="0.25">
      <c r="A110" s="876"/>
      <c r="B110" s="4"/>
      <c r="C110" s="23"/>
      <c r="D110" s="23"/>
      <c r="E110" s="23"/>
      <c r="F110" s="23"/>
      <c r="G110" s="23"/>
      <c r="H110" s="23"/>
      <c r="I110" s="23"/>
      <c r="J110" s="23"/>
      <c r="K110" s="23"/>
      <c r="L110" s="23"/>
      <c r="M110" s="23"/>
      <c r="N110" s="4"/>
      <c r="O110" s="23"/>
      <c r="P110" s="23"/>
      <c r="Q110" s="23"/>
      <c r="R110" s="4"/>
      <c r="S110" s="4"/>
      <c r="T110" s="4"/>
    </row>
    <row r="111" spans="1:20" x14ac:dyDescent="0.25">
      <c r="A111" s="876"/>
      <c r="B111" s="4"/>
      <c r="C111" s="23"/>
      <c r="D111" s="23"/>
      <c r="E111" s="23"/>
      <c r="F111" s="23"/>
      <c r="G111" s="23"/>
      <c r="H111" s="23"/>
      <c r="I111" s="23"/>
      <c r="J111" s="23"/>
      <c r="K111" s="23"/>
      <c r="L111" s="23"/>
      <c r="M111" s="23"/>
      <c r="N111" s="4"/>
      <c r="O111" s="23"/>
      <c r="P111" s="23"/>
      <c r="Q111" s="23"/>
      <c r="R111" s="4"/>
      <c r="S111" s="4"/>
      <c r="T111" s="4"/>
    </row>
    <row r="112" spans="1:20" x14ac:dyDescent="0.25">
      <c r="A112" s="876"/>
      <c r="B112" s="4"/>
      <c r="C112" s="23"/>
      <c r="D112" s="23"/>
      <c r="E112" s="23"/>
      <c r="F112" s="23"/>
      <c r="G112" s="23"/>
      <c r="H112" s="23"/>
      <c r="I112" s="23"/>
      <c r="J112" s="23"/>
      <c r="K112" s="23"/>
      <c r="L112" s="23"/>
      <c r="M112" s="23"/>
      <c r="N112" s="4"/>
      <c r="O112" s="23"/>
      <c r="P112" s="23"/>
      <c r="Q112" s="23"/>
      <c r="R112" s="4"/>
      <c r="S112" s="4"/>
      <c r="T112" s="4"/>
    </row>
    <row r="113" spans="1:20" x14ac:dyDescent="0.25">
      <c r="A113" s="876"/>
      <c r="B113" s="4"/>
      <c r="C113" s="23"/>
      <c r="D113" s="23"/>
      <c r="E113" s="23"/>
      <c r="F113" s="23"/>
      <c r="G113" s="23"/>
      <c r="H113" s="23"/>
      <c r="I113" s="23"/>
      <c r="J113" s="23"/>
      <c r="K113" s="23"/>
      <c r="L113" s="23"/>
      <c r="M113" s="23"/>
      <c r="N113" s="4"/>
      <c r="O113" s="23"/>
      <c r="P113" s="23"/>
      <c r="Q113" s="23"/>
      <c r="R113" s="4"/>
      <c r="S113" s="4"/>
      <c r="T113" s="4"/>
    </row>
    <row r="114" spans="1:20" x14ac:dyDescent="0.25">
      <c r="C114" s="114"/>
    </row>
    <row r="115" spans="1:20" x14ac:dyDescent="0.25">
      <c r="C115" s="114"/>
    </row>
    <row r="116" spans="1:20" x14ac:dyDescent="0.25">
      <c r="C116" s="114"/>
    </row>
    <row r="117" spans="1:20" x14ac:dyDescent="0.25">
      <c r="C117" s="114"/>
    </row>
    <row r="118" spans="1:20" x14ac:dyDescent="0.25">
      <c r="C118" s="114"/>
    </row>
    <row r="119" spans="1:20" x14ac:dyDescent="0.25">
      <c r="C119" s="114"/>
    </row>
    <row r="120" spans="1:20" x14ac:dyDescent="0.25">
      <c r="C120" s="114"/>
    </row>
    <row r="121" spans="1:20" x14ac:dyDescent="0.25">
      <c r="C121" s="114"/>
    </row>
    <row r="122" spans="1:20" x14ac:dyDescent="0.25">
      <c r="C122" s="114"/>
    </row>
    <row r="123" spans="1:20" x14ac:dyDescent="0.25">
      <c r="C123" s="114"/>
    </row>
    <row r="124" spans="1:20" x14ac:dyDescent="0.25">
      <c r="C124" s="114"/>
    </row>
    <row r="125" spans="1:20" x14ac:dyDescent="0.25">
      <c r="C125" s="114"/>
    </row>
    <row r="126" spans="1:20" x14ac:dyDescent="0.25">
      <c r="C126" s="114"/>
    </row>
    <row r="127" spans="1:20" x14ac:dyDescent="0.25">
      <c r="C127" s="114"/>
    </row>
    <row r="128" spans="1:20" x14ac:dyDescent="0.25">
      <c r="C128" s="114"/>
    </row>
    <row r="129" spans="3:3" x14ac:dyDescent="0.25">
      <c r="C129" s="114"/>
    </row>
    <row r="130" spans="3:3" x14ac:dyDescent="0.25">
      <c r="C130" s="114"/>
    </row>
    <row r="131" spans="3:3" x14ac:dyDescent="0.25">
      <c r="C131" s="114"/>
    </row>
    <row r="132" spans="3:3" x14ac:dyDescent="0.25">
      <c r="C132" s="114"/>
    </row>
    <row r="133" spans="3:3" x14ac:dyDescent="0.25">
      <c r="C133" s="114"/>
    </row>
    <row r="134" spans="3:3" x14ac:dyDescent="0.25">
      <c r="C134" s="114"/>
    </row>
    <row r="135" spans="3:3" x14ac:dyDescent="0.25">
      <c r="C135" s="114"/>
    </row>
    <row r="136" spans="3:3" x14ac:dyDescent="0.25">
      <c r="C136" s="114"/>
    </row>
    <row r="137" spans="3:3" x14ac:dyDescent="0.25">
      <c r="C137" s="114"/>
    </row>
    <row r="138" spans="3:3" x14ac:dyDescent="0.25">
      <c r="C138" s="114"/>
    </row>
    <row r="139" spans="3:3" x14ac:dyDescent="0.25">
      <c r="C139" s="114"/>
    </row>
    <row r="140" spans="3:3" x14ac:dyDescent="0.25">
      <c r="C140" s="114"/>
    </row>
    <row r="141" spans="3:3" x14ac:dyDescent="0.25">
      <c r="C141" s="114"/>
    </row>
    <row r="142" spans="3:3" x14ac:dyDescent="0.25">
      <c r="C142" s="114"/>
    </row>
    <row r="143" spans="3:3" x14ac:dyDescent="0.25">
      <c r="C143" s="114"/>
    </row>
    <row r="144" spans="3:3" x14ac:dyDescent="0.25">
      <c r="C144" s="114"/>
    </row>
    <row r="145" spans="3:3" x14ac:dyDescent="0.25">
      <c r="C145" s="114"/>
    </row>
    <row r="146" spans="3:3" x14ac:dyDescent="0.25">
      <c r="C146" s="114"/>
    </row>
    <row r="147" spans="3:3" x14ac:dyDescent="0.25">
      <c r="C147" s="114"/>
    </row>
    <row r="148" spans="3:3" x14ac:dyDescent="0.25">
      <c r="C148" s="114"/>
    </row>
    <row r="149" spans="3:3" x14ac:dyDescent="0.25">
      <c r="C149" s="114"/>
    </row>
    <row r="150" spans="3:3" x14ac:dyDescent="0.25">
      <c r="C150" s="114"/>
    </row>
    <row r="151" spans="3:3" x14ac:dyDescent="0.25">
      <c r="C151" s="114"/>
    </row>
    <row r="152" spans="3:3" x14ac:dyDescent="0.25">
      <c r="C152" s="114"/>
    </row>
    <row r="153" spans="3:3" x14ac:dyDescent="0.25">
      <c r="C153" s="114"/>
    </row>
    <row r="154" spans="3:3" x14ac:dyDescent="0.25">
      <c r="C154" s="114"/>
    </row>
    <row r="155" spans="3:3" x14ac:dyDescent="0.25">
      <c r="C155" s="114"/>
    </row>
    <row r="156" spans="3:3" x14ac:dyDescent="0.25">
      <c r="C156" s="114"/>
    </row>
    <row r="157" spans="3:3" x14ac:dyDescent="0.25">
      <c r="C157" s="114"/>
    </row>
    <row r="158" spans="3:3" x14ac:dyDescent="0.25">
      <c r="C158" s="114"/>
    </row>
    <row r="159" spans="3:3" x14ac:dyDescent="0.25">
      <c r="C159" s="114"/>
    </row>
    <row r="160" spans="3:3" x14ac:dyDescent="0.25">
      <c r="C160" s="114"/>
    </row>
    <row r="161" spans="3:3" x14ac:dyDescent="0.25">
      <c r="C161" s="114"/>
    </row>
    <row r="162" spans="3:3" x14ac:dyDescent="0.25">
      <c r="C162" s="114"/>
    </row>
  </sheetData>
  <phoneticPr fontId="0" type="noConversion"/>
  <hyperlinks>
    <hyperlink ref="A1" location="'Working Budget with funding det'!A1" display="Main " xr:uid="{00000000-0004-0000-1500-000000000000}"/>
    <hyperlink ref="B1" location="'Table of Contents'!A1" display="TOC" xr:uid="{00000000-0004-0000-1500-000001000000}"/>
  </hyperlinks>
  <pageMargins left="0.75" right="0.75" top="1" bottom="1" header="0.5" footer="0.5"/>
  <pageSetup scale="90" fitToHeight="2" orientation="landscape" horizontalDpi="300" verticalDpi="300" r:id="rId1"/>
  <headerFooter alignWithMargins="0">
    <oddFooter>&amp;L&amp;D     &amp;T&amp;C&amp;F&amp;R&amp;A</oddFooter>
  </headerFooter>
  <rowBreaks count="1" manualBreakCount="1">
    <brk id="41"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S65"/>
  <sheetViews>
    <sheetView topLeftCell="A10" workbookViewId="0">
      <selection activeCell="S36" sqref="S36"/>
    </sheetView>
  </sheetViews>
  <sheetFormatPr defaultRowHeight="13.2" x14ac:dyDescent="0.25"/>
  <cols>
    <col min="1" max="1" width="33.33203125" customWidth="1"/>
    <col min="2" max="5" width="14.33203125" hidden="1" customWidth="1"/>
    <col min="6" max="6" width="14.33203125" style="2" hidden="1" customWidth="1"/>
    <col min="7" max="7" width="12.6640625" style="2" hidden="1" customWidth="1"/>
    <col min="8" max="8" width="12.6640625" hidden="1" customWidth="1"/>
    <col min="9" max="9" width="12.6640625" style="2" customWidth="1"/>
    <col min="10" max="11" width="12.109375" customWidth="1"/>
    <col min="12" max="14" width="10.44140625" customWidth="1"/>
    <col min="15" max="15" width="13" bestFit="1" customWidth="1"/>
  </cols>
  <sheetData>
    <row r="1" spans="1:15" x14ac:dyDescent="0.25">
      <c r="A1" s="371" t="s">
        <v>1348</v>
      </c>
      <c r="B1" s="3" t="s">
        <v>347</v>
      </c>
      <c r="C1" s="286" t="s">
        <v>722</v>
      </c>
      <c r="D1" s="286" t="s">
        <v>737</v>
      </c>
      <c r="E1" s="345" t="s">
        <v>800</v>
      </c>
      <c r="F1" s="345" t="s">
        <v>890</v>
      </c>
      <c r="G1" s="345" t="s">
        <v>1018</v>
      </c>
      <c r="H1" s="345" t="s">
        <v>1018</v>
      </c>
      <c r="I1" s="345" t="s">
        <v>1072</v>
      </c>
      <c r="J1" s="345" t="s">
        <v>1223</v>
      </c>
      <c r="K1" s="345" t="s">
        <v>908</v>
      </c>
      <c r="L1" s="345" t="s">
        <v>909</v>
      </c>
      <c r="M1" s="345" t="s">
        <v>910</v>
      </c>
    </row>
    <row r="2" spans="1:15" x14ac:dyDescent="0.25">
      <c r="B2" s="2"/>
      <c r="C2" s="2"/>
      <c r="D2" s="2"/>
      <c r="E2" s="330"/>
      <c r="F2" s="345"/>
      <c r="G2" s="345"/>
      <c r="H2" s="140" t="s">
        <v>1186</v>
      </c>
      <c r="I2" s="3"/>
      <c r="J2" s="140"/>
      <c r="K2" s="140" t="s">
        <v>547</v>
      </c>
      <c r="L2" s="140" t="s">
        <v>547</v>
      </c>
      <c r="M2" s="140" t="s">
        <v>547</v>
      </c>
    </row>
    <row r="3" spans="1:15" x14ac:dyDescent="0.25">
      <c r="B3" s="3" t="s">
        <v>127</v>
      </c>
      <c r="C3" s="3" t="s">
        <v>127</v>
      </c>
      <c r="D3" s="3" t="s">
        <v>127</v>
      </c>
      <c r="E3" s="3" t="s">
        <v>127</v>
      </c>
      <c r="F3" s="447" t="s">
        <v>127</v>
      </c>
      <c r="G3" s="447" t="s">
        <v>127</v>
      </c>
      <c r="H3" s="3" t="s">
        <v>41</v>
      </c>
      <c r="I3" s="3" t="s">
        <v>41</v>
      </c>
      <c r="J3" s="3" t="s">
        <v>41</v>
      </c>
      <c r="K3" s="345" t="s">
        <v>1668</v>
      </c>
      <c r="L3" s="345" t="s">
        <v>1371</v>
      </c>
      <c r="M3" s="345" t="s">
        <v>1371</v>
      </c>
    </row>
    <row r="4" spans="1:15" x14ac:dyDescent="0.25">
      <c r="B4" s="3"/>
      <c r="C4" s="3"/>
      <c r="D4" s="3"/>
      <c r="E4" s="3"/>
      <c r="F4" s="447"/>
      <c r="G4" s="3"/>
      <c r="H4" s="3"/>
      <c r="I4" s="3"/>
      <c r="J4" s="345"/>
      <c r="K4" s="345"/>
    </row>
    <row r="5" spans="1:15" x14ac:dyDescent="0.25">
      <c r="B5" s="3"/>
      <c r="C5" s="3"/>
      <c r="D5" s="3"/>
      <c r="E5" s="3"/>
      <c r="F5" s="447"/>
      <c r="G5" s="3"/>
      <c r="H5" s="3"/>
      <c r="I5" s="3"/>
      <c r="J5" s="345"/>
      <c r="K5" s="345"/>
    </row>
    <row r="6" spans="1:15" x14ac:dyDescent="0.25">
      <c r="A6" s="240" t="s">
        <v>1611</v>
      </c>
      <c r="B6" s="3"/>
      <c r="C6" s="3"/>
      <c r="D6" s="3"/>
      <c r="E6" s="3"/>
      <c r="F6" s="447"/>
      <c r="G6" s="3"/>
      <c r="H6" s="3"/>
      <c r="I6" s="240"/>
      <c r="J6" s="2">
        <f>2320727+215000</f>
        <v>2535727</v>
      </c>
      <c r="K6" s="241">
        <v>2419509</v>
      </c>
      <c r="L6" s="241">
        <f>+'Working Budget with funding det'!L117</f>
        <v>2586971</v>
      </c>
      <c r="M6" s="241">
        <f>+'Working Budget with funding det'!N26+'Working Budget with funding det'!O117</f>
        <v>2872377</v>
      </c>
      <c r="N6" s="2"/>
    </row>
    <row r="7" spans="1:15" x14ac:dyDescent="0.25">
      <c r="B7" s="2"/>
      <c r="C7" s="2"/>
      <c r="D7" s="2"/>
      <c r="E7" s="2"/>
      <c r="K7" s="120"/>
      <c r="L7" s="120"/>
      <c r="M7" s="120"/>
    </row>
    <row r="8" spans="1:15" x14ac:dyDescent="0.25">
      <c r="A8" t="s">
        <v>869</v>
      </c>
      <c r="B8" s="1">
        <v>2350.96</v>
      </c>
      <c r="C8" s="1">
        <v>0</v>
      </c>
      <c r="D8" s="1">
        <v>1692.14</v>
      </c>
      <c r="E8" s="1">
        <v>915.89</v>
      </c>
      <c r="F8" s="69">
        <v>3690.7</v>
      </c>
      <c r="G8" s="2">
        <v>1126.17</v>
      </c>
      <c r="H8" s="1">
        <v>1126</v>
      </c>
      <c r="I8" s="69">
        <v>150</v>
      </c>
      <c r="J8" s="69">
        <v>253261.08</v>
      </c>
      <c r="K8" s="1064">
        <v>3444.54</v>
      </c>
      <c r="L8" s="120"/>
      <c r="M8" s="120"/>
    </row>
    <row r="9" spans="1:15" x14ac:dyDescent="0.25">
      <c r="A9" t="s">
        <v>870</v>
      </c>
      <c r="B9" s="1">
        <v>62417.56</v>
      </c>
      <c r="C9" s="1">
        <v>46780.02</v>
      </c>
      <c r="D9" s="1">
        <v>47273.919999999998</v>
      </c>
      <c r="E9" s="1">
        <v>47707.63</v>
      </c>
      <c r="F9" s="69">
        <v>51027.91</v>
      </c>
      <c r="G9" s="2">
        <v>76073.2</v>
      </c>
      <c r="H9" s="2">
        <v>16336</v>
      </c>
      <c r="I9" s="2">
        <v>60437</v>
      </c>
      <c r="J9" s="2">
        <v>107621.26</v>
      </c>
      <c r="K9" s="241">
        <v>112117.6</v>
      </c>
      <c r="L9" s="120"/>
      <c r="M9" s="120"/>
    </row>
    <row r="10" spans="1:15" x14ac:dyDescent="0.25">
      <c r="A10" t="s">
        <v>871</v>
      </c>
      <c r="B10" s="1">
        <v>9171.98</v>
      </c>
      <c r="C10" s="1">
        <v>7515.76</v>
      </c>
      <c r="D10" s="1">
        <v>8456.99</v>
      </c>
      <c r="E10" s="1">
        <v>7627.72</v>
      </c>
      <c r="F10" s="69">
        <v>8923.08</v>
      </c>
      <c r="G10" s="69">
        <v>8025.77</v>
      </c>
      <c r="H10" s="69">
        <v>4578</v>
      </c>
      <c r="I10" s="69">
        <v>7357</v>
      </c>
      <c r="J10" s="69">
        <v>66825.37</v>
      </c>
      <c r="K10" s="241">
        <v>15558.03</v>
      </c>
      <c r="L10" s="120"/>
      <c r="M10" s="120"/>
    </row>
    <row r="11" spans="1:15" x14ac:dyDescent="0.25">
      <c r="A11" t="s">
        <v>872</v>
      </c>
      <c r="B11" s="1">
        <v>570636.03</v>
      </c>
      <c r="C11" s="1">
        <v>522990.59</v>
      </c>
      <c r="D11" s="1">
        <v>429726.67</v>
      </c>
      <c r="E11" s="1">
        <v>389061.1</v>
      </c>
      <c r="F11" s="69">
        <v>341688.21</v>
      </c>
      <c r="G11" s="69">
        <v>206054.04</v>
      </c>
      <c r="H11" s="69">
        <f>18971+111265</f>
        <v>130236</v>
      </c>
      <c r="I11" s="69">
        <v>415437</v>
      </c>
      <c r="J11" s="69">
        <v>460864.76</v>
      </c>
      <c r="K11" s="241">
        <v>370134.11</v>
      </c>
      <c r="L11" s="241">
        <v>400000</v>
      </c>
      <c r="M11" s="241">
        <v>400000</v>
      </c>
      <c r="N11" s="2"/>
    </row>
    <row r="12" spans="1:15" x14ac:dyDescent="0.25">
      <c r="A12" t="s">
        <v>873</v>
      </c>
      <c r="B12" s="1">
        <v>785756.91</v>
      </c>
      <c r="C12" s="1">
        <v>782475.45</v>
      </c>
      <c r="D12" s="1">
        <v>769534.7</v>
      </c>
      <c r="E12" s="1">
        <v>834113.89</v>
      </c>
      <c r="F12" s="69">
        <v>947012.31</v>
      </c>
      <c r="G12" s="346">
        <v>953505.81</v>
      </c>
      <c r="H12" s="346">
        <v>472871</v>
      </c>
      <c r="I12" s="69">
        <v>1598066</v>
      </c>
      <c r="J12" s="69">
        <v>1575572.53</v>
      </c>
      <c r="K12" s="241">
        <v>1709955.71</v>
      </c>
      <c r="L12" s="241">
        <v>1833840</v>
      </c>
      <c r="M12" s="241">
        <v>1833840</v>
      </c>
      <c r="N12" s="2"/>
      <c r="O12" s="240" t="s">
        <v>1670</v>
      </c>
    </row>
    <row r="13" spans="1:15" x14ac:dyDescent="0.25">
      <c r="A13" t="s">
        <v>874</v>
      </c>
      <c r="B13" s="1">
        <v>178768.23</v>
      </c>
      <c r="C13" s="1">
        <v>231553.77</v>
      </c>
      <c r="D13" s="1">
        <v>262084.75</v>
      </c>
      <c r="E13" s="1">
        <v>293062.40000000002</v>
      </c>
      <c r="F13" s="69">
        <v>271886.17</v>
      </c>
      <c r="G13" s="69">
        <v>263099.2</v>
      </c>
      <c r="H13" s="69">
        <f>3697+188037</f>
        <v>191734</v>
      </c>
      <c r="I13" s="69">
        <v>211265</v>
      </c>
      <c r="J13" s="69">
        <v>53327.5</v>
      </c>
      <c r="K13" s="241">
        <v>49121</v>
      </c>
      <c r="L13" s="241">
        <v>100000</v>
      </c>
      <c r="M13" s="241">
        <v>250000</v>
      </c>
      <c r="N13" s="2"/>
      <c r="O13" s="240" t="s">
        <v>1905</v>
      </c>
    </row>
    <row r="14" spans="1:15" x14ac:dyDescent="0.25">
      <c r="A14" t="s">
        <v>875</v>
      </c>
      <c r="B14" s="1">
        <v>45499.24</v>
      </c>
      <c r="C14" s="1">
        <v>184592.92</v>
      </c>
      <c r="D14" s="1">
        <v>327232.28999999998</v>
      </c>
      <c r="E14" s="1">
        <v>483853.95</v>
      </c>
      <c r="F14" s="69">
        <v>106044.93</v>
      </c>
      <c r="G14" s="69">
        <v>79691.28</v>
      </c>
      <c r="H14" s="69">
        <v>79691</v>
      </c>
      <c r="I14" s="69"/>
      <c r="J14" s="69"/>
      <c r="K14" s="120"/>
      <c r="L14" s="120"/>
      <c r="M14" s="120"/>
    </row>
    <row r="15" spans="1:15" x14ac:dyDescent="0.25">
      <c r="A15" t="s">
        <v>876</v>
      </c>
      <c r="B15" s="1">
        <v>167.51</v>
      </c>
      <c r="C15" s="1">
        <v>144.52000000000001</v>
      </c>
      <c r="D15" s="1">
        <v>78.22</v>
      </c>
      <c r="E15" s="1">
        <v>36.78</v>
      </c>
      <c r="F15" s="69">
        <v>24.84</v>
      </c>
      <c r="G15" s="2">
        <v>3.03</v>
      </c>
      <c r="H15" s="2">
        <v>2</v>
      </c>
      <c r="I15" s="2">
        <v>3</v>
      </c>
      <c r="J15" s="2">
        <v>3.01</v>
      </c>
      <c r="K15" s="241">
        <v>3</v>
      </c>
      <c r="L15" s="120"/>
      <c r="M15" s="120"/>
    </row>
    <row r="16" spans="1:15" x14ac:dyDescent="0.25">
      <c r="A16" t="s">
        <v>877</v>
      </c>
      <c r="B16" s="1"/>
      <c r="C16" s="1">
        <v>6689.5</v>
      </c>
      <c r="D16" s="1">
        <f>532.96-1430.76</f>
        <v>-897.8</v>
      </c>
      <c r="E16" s="1">
        <v>60.78</v>
      </c>
      <c r="F16" s="69">
        <v>120271.51</v>
      </c>
      <c r="G16" s="2">
        <v>894</v>
      </c>
      <c r="H16" s="2">
        <v>894</v>
      </c>
      <c r="I16" s="2">
        <f>335+493+410</f>
        <v>1238</v>
      </c>
      <c r="J16" s="2">
        <f>105+1818.08</f>
        <v>1923.08</v>
      </c>
      <c r="K16" s="241">
        <f>212.16+105</f>
        <v>317.15999999999997</v>
      </c>
      <c r="L16" s="120"/>
      <c r="M16" s="120"/>
    </row>
    <row r="17" spans="1:17" x14ac:dyDescent="0.25">
      <c r="A17" t="s">
        <v>878</v>
      </c>
      <c r="B17" s="1">
        <v>42360.77</v>
      </c>
      <c r="C17" s="1">
        <v>39529.18</v>
      </c>
      <c r="D17" s="1">
        <v>36608.18</v>
      </c>
      <c r="E17" s="1">
        <v>31266.98</v>
      </c>
      <c r="F17" s="69">
        <v>27250.13</v>
      </c>
      <c r="G17" s="2">
        <v>4681.92</v>
      </c>
      <c r="H17" s="2">
        <v>4682</v>
      </c>
      <c r="J17" s="2"/>
      <c r="K17" s="120"/>
      <c r="L17" s="120"/>
      <c r="M17" s="120"/>
    </row>
    <row r="18" spans="1:17" x14ac:dyDescent="0.25">
      <c r="A18" s="240" t="s">
        <v>881</v>
      </c>
      <c r="B18" s="1"/>
      <c r="C18" s="1"/>
      <c r="D18" s="1">
        <v>10337.09</v>
      </c>
      <c r="E18" s="1">
        <v>0</v>
      </c>
      <c r="F18" s="69"/>
      <c r="H18" s="2"/>
      <c r="J18" s="2">
        <v>2927.3</v>
      </c>
      <c r="K18" s="120"/>
      <c r="L18" s="120"/>
      <c r="M18" s="120"/>
    </row>
    <row r="19" spans="1:17" x14ac:dyDescent="0.25">
      <c r="A19" t="s">
        <v>879</v>
      </c>
      <c r="B19" s="1">
        <v>209502</v>
      </c>
      <c r="C19" s="1">
        <v>180000</v>
      </c>
      <c r="D19" s="1">
        <v>200000</v>
      </c>
      <c r="E19" s="1">
        <v>200000</v>
      </c>
      <c r="F19" s="69">
        <v>201261</v>
      </c>
      <c r="G19" s="69">
        <v>310000</v>
      </c>
      <c r="H19" s="69">
        <v>200000</v>
      </c>
      <c r="I19" s="69">
        <v>200000</v>
      </c>
      <c r="J19" s="69">
        <v>215000</v>
      </c>
      <c r="K19" s="241">
        <v>220559</v>
      </c>
      <c r="L19" s="241">
        <v>251228</v>
      </c>
      <c r="M19" s="241">
        <f>+'Working Budget with funding det'!O117</f>
        <v>266439</v>
      </c>
      <c r="N19" s="2"/>
    </row>
    <row r="20" spans="1:17" x14ac:dyDescent="0.25">
      <c r="A20" t="s">
        <v>880</v>
      </c>
      <c r="B20" s="1"/>
      <c r="C20" s="1">
        <v>24784.25</v>
      </c>
      <c r="D20" s="1"/>
      <c r="E20" s="1"/>
      <c r="F20" s="69">
        <v>0</v>
      </c>
      <c r="G20" s="56"/>
      <c r="H20" s="56"/>
      <c r="I20" s="56"/>
      <c r="J20" s="56"/>
      <c r="K20" s="1065">
        <v>124560.47</v>
      </c>
      <c r="L20" s="606"/>
      <c r="M20" s="606"/>
      <c r="N20" s="94"/>
    </row>
    <row r="21" spans="1:17" x14ac:dyDescent="0.25">
      <c r="B21" s="1"/>
      <c r="C21" s="1"/>
      <c r="D21" s="1"/>
      <c r="E21" s="1"/>
      <c r="F21" s="69"/>
      <c r="H21" s="2"/>
      <c r="J21" s="2"/>
    </row>
    <row r="22" spans="1:17" x14ac:dyDescent="0.25">
      <c r="A22" t="s">
        <v>439</v>
      </c>
      <c r="B22" s="1">
        <f t="shared" ref="B22:G22" si="0">SUM(B7:B21)</f>
        <v>1906631.19</v>
      </c>
      <c r="C22" s="1">
        <f t="shared" si="0"/>
        <v>2027055.9599999997</v>
      </c>
      <c r="D22" s="1">
        <f t="shared" si="0"/>
        <v>2092127.15</v>
      </c>
      <c r="E22" s="1">
        <f t="shared" si="0"/>
        <v>2287707.12</v>
      </c>
      <c r="F22" s="69">
        <f t="shared" si="0"/>
        <v>2079080.7899999998</v>
      </c>
      <c r="G22" s="69">
        <f t="shared" si="0"/>
        <v>1903154.42</v>
      </c>
      <c r="H22" s="69">
        <f t="shared" ref="H22:M22" si="1">SUM(H7:H21)</f>
        <v>1102150</v>
      </c>
      <c r="I22" s="69">
        <f t="shared" si="1"/>
        <v>2493953</v>
      </c>
      <c r="J22" s="69">
        <f t="shared" si="1"/>
        <v>2737325.8899999997</v>
      </c>
      <c r="K22" s="69">
        <f t="shared" si="1"/>
        <v>2605770.6200000006</v>
      </c>
      <c r="L22" s="69">
        <f t="shared" si="1"/>
        <v>2585068</v>
      </c>
      <c r="M22" s="69">
        <f t="shared" si="1"/>
        <v>2750279</v>
      </c>
      <c r="N22" s="69"/>
    </row>
    <row r="23" spans="1:17" x14ac:dyDescent="0.25">
      <c r="A23" s="240" t="s">
        <v>1222</v>
      </c>
      <c r="B23" s="1">
        <v>160000</v>
      </c>
      <c r="C23" s="1">
        <v>120000</v>
      </c>
      <c r="D23" s="1">
        <v>294000</v>
      </c>
      <c r="E23" s="1">
        <v>100000</v>
      </c>
      <c r="F23" s="2">
        <v>200000</v>
      </c>
      <c r="H23" s="2"/>
      <c r="J23" s="2"/>
    </row>
    <row r="24" spans="1:17" x14ac:dyDescent="0.25">
      <c r="A24" s="240"/>
      <c r="B24" s="1"/>
      <c r="C24" s="1"/>
      <c r="D24" s="1"/>
      <c r="E24" s="1"/>
      <c r="H24" s="2"/>
      <c r="J24" s="2"/>
    </row>
    <row r="25" spans="1:17" x14ac:dyDescent="0.25">
      <c r="A25" s="240" t="s">
        <v>1372</v>
      </c>
      <c r="H25" s="2"/>
      <c r="I25" s="240"/>
      <c r="J25" s="2"/>
      <c r="L25" s="737">
        <f>+'661 440 WPCF'!M64</f>
        <v>1751791</v>
      </c>
      <c r="M25" s="737">
        <f>+'661 440 WPCF'!O64</f>
        <v>1957155</v>
      </c>
      <c r="N25" s="737"/>
      <c r="O25" s="969">
        <v>440</v>
      </c>
      <c r="Q25" s="240"/>
    </row>
    <row r="26" spans="1:17" x14ac:dyDescent="0.25">
      <c r="A26" s="240" t="s">
        <v>1373</v>
      </c>
      <c r="H26" s="2"/>
      <c r="J26" s="2"/>
      <c r="L26" s="2">
        <f>+'661 449 Hwy'!M27</f>
        <v>50800</v>
      </c>
      <c r="M26" s="2">
        <f>+'661 449 Hwy'!O27</f>
        <v>50800</v>
      </c>
      <c r="N26" s="2"/>
      <c r="O26" s="969">
        <v>449</v>
      </c>
    </row>
    <row r="27" spans="1:17" x14ac:dyDescent="0.25">
      <c r="A27" s="240" t="s">
        <v>1374</v>
      </c>
      <c r="E27" s="240"/>
      <c r="L27" s="2">
        <f>+'661 700 WPCF Debt'!M61</f>
        <v>514047</v>
      </c>
      <c r="M27" s="2">
        <f>+'661 700 WPCF Debt'!O61</f>
        <v>505269.51</v>
      </c>
      <c r="N27" s="2"/>
      <c r="O27" s="969">
        <v>710</v>
      </c>
      <c r="Q27" s="2"/>
    </row>
    <row r="28" spans="1:17" x14ac:dyDescent="0.25">
      <c r="A28" s="240" t="s">
        <v>1375</v>
      </c>
      <c r="E28" s="240"/>
      <c r="L28" s="2">
        <f>+'661 910 WPCF Benefits'!M18</f>
        <v>270333</v>
      </c>
      <c r="M28" s="2">
        <f>+'661 910 WPCF Benefits'!O18</f>
        <v>359152</v>
      </c>
      <c r="N28" s="2"/>
      <c r="O28" s="969">
        <v>910</v>
      </c>
      <c r="Q28" s="346"/>
    </row>
    <row r="29" spans="1:17" x14ac:dyDescent="0.25">
      <c r="A29" s="240" t="s">
        <v>1376</v>
      </c>
      <c r="E29" s="240"/>
      <c r="L29" s="838"/>
      <c r="M29" s="838"/>
      <c r="N29" s="54"/>
      <c r="O29" s="2" t="s">
        <v>1366</v>
      </c>
      <c r="Q29" s="346"/>
    </row>
    <row r="30" spans="1:17" x14ac:dyDescent="0.25">
      <c r="A30" s="240"/>
      <c r="L30" s="2">
        <f>SUM(L25:L29)</f>
        <v>2586971</v>
      </c>
      <c r="M30" s="2">
        <f>SUM(M25:M29)</f>
        <v>2872376.51</v>
      </c>
      <c r="N30" s="2"/>
      <c r="O30" t="s">
        <v>1367</v>
      </c>
      <c r="Q30" s="2"/>
    </row>
    <row r="31" spans="1:17" x14ac:dyDescent="0.25">
      <c r="K31" s="2"/>
      <c r="L31" s="2"/>
      <c r="M31" s="2"/>
      <c r="N31" s="2"/>
      <c r="Q31" s="2"/>
    </row>
    <row r="32" spans="1:17" x14ac:dyDescent="0.25">
      <c r="A32" s="240"/>
      <c r="K32" s="2"/>
      <c r="L32" s="2">
        <f>-L19-L13-L11</f>
        <v>-751228</v>
      </c>
      <c r="M32" s="2">
        <f>-M19-M13-M11</f>
        <v>-916439</v>
      </c>
      <c r="N32" s="2"/>
      <c r="O32" t="s">
        <v>1368</v>
      </c>
      <c r="Q32" s="2"/>
    </row>
    <row r="33" spans="1:19" x14ac:dyDescent="0.25">
      <c r="A33" s="240"/>
      <c r="G33" s="54"/>
      <c r="K33" s="346"/>
      <c r="L33" s="346">
        <f>+L32+L30</f>
        <v>1835743</v>
      </c>
      <c r="M33" s="346">
        <f>+M32+M30</f>
        <v>1955937.5099999998</v>
      </c>
      <c r="N33" s="346"/>
      <c r="O33" t="s">
        <v>1369</v>
      </c>
      <c r="Q33" s="2"/>
    </row>
    <row r="34" spans="1:19" x14ac:dyDescent="0.25">
      <c r="A34" s="240"/>
      <c r="G34" s="54"/>
      <c r="K34" s="2"/>
      <c r="L34" s="2">
        <f>+L33-K12-50000</f>
        <v>75787.290000000037</v>
      </c>
      <c r="M34" s="2">
        <f>+M33-L12</f>
        <v>122097.50999999978</v>
      </c>
      <c r="N34" s="2"/>
      <c r="O34" s="240" t="s">
        <v>1666</v>
      </c>
    </row>
    <row r="35" spans="1:19" x14ac:dyDescent="0.25">
      <c r="G35" s="54"/>
      <c r="K35" s="139"/>
      <c r="L35" s="839">
        <f>ROUND((+L34/K12),4)</f>
        <v>4.4299999999999999E-2</v>
      </c>
      <c r="M35" s="839">
        <f>ROUND((+M34/L12),4)</f>
        <v>6.6600000000000006E-2</v>
      </c>
      <c r="N35" s="139"/>
      <c r="O35" s="240" t="s">
        <v>1669</v>
      </c>
      <c r="S35" t="s">
        <v>1906</v>
      </c>
    </row>
    <row r="36" spans="1:19" x14ac:dyDescent="0.25">
      <c r="A36" s="594"/>
      <c r="K36" s="139"/>
      <c r="L36" s="839">
        <f>+L35</f>
        <v>4.4299999999999999E-2</v>
      </c>
      <c r="M36" s="839">
        <f>+ROUND(((+M33-M29-L12)/L12),4)</f>
        <v>6.6600000000000006E-2</v>
      </c>
      <c r="N36" s="139"/>
      <c r="O36" t="s">
        <v>1370</v>
      </c>
    </row>
    <row r="37" spans="1:19" x14ac:dyDescent="0.25">
      <c r="A37" s="240"/>
      <c r="O37" s="2"/>
      <c r="Q37" s="94"/>
    </row>
    <row r="38" spans="1:19" x14ac:dyDescent="0.25">
      <c r="A38" s="240"/>
      <c r="O38" s="2"/>
      <c r="Q38" s="54"/>
    </row>
    <row r="39" spans="1:19" x14ac:dyDescent="0.25">
      <c r="A39" s="240"/>
      <c r="O39" s="2"/>
      <c r="Q39" s="54"/>
    </row>
    <row r="40" spans="1:19" x14ac:dyDescent="0.25">
      <c r="A40" s="240"/>
      <c r="Q40" s="94"/>
    </row>
    <row r="41" spans="1:19" x14ac:dyDescent="0.25">
      <c r="A41" s="240"/>
      <c r="G41" s="56"/>
      <c r="Q41" s="94"/>
    </row>
    <row r="42" spans="1:19" x14ac:dyDescent="0.25">
      <c r="A42" s="240"/>
    </row>
    <row r="44" spans="1:19" x14ac:dyDescent="0.25">
      <c r="A44" s="240"/>
    </row>
    <row r="46" spans="1:19" ht="13.8" x14ac:dyDescent="0.25">
      <c r="A46" s="242"/>
    </row>
    <row r="47" spans="1:19" ht="13.8" x14ac:dyDescent="0.25">
      <c r="A47" s="246"/>
    </row>
    <row r="49" spans="1:9" x14ac:dyDescent="0.25">
      <c r="A49" s="240"/>
    </row>
    <row r="52" spans="1:9" x14ac:dyDescent="0.25">
      <c r="B52" s="2"/>
      <c r="F52"/>
    </row>
    <row r="53" spans="1:9" x14ac:dyDescent="0.25">
      <c r="F53"/>
      <c r="I53"/>
    </row>
    <row r="54" spans="1:9" x14ac:dyDescent="0.25">
      <c r="F54"/>
      <c r="I54"/>
    </row>
    <row r="55" spans="1:9" x14ac:dyDescent="0.25">
      <c r="F55"/>
      <c r="I55"/>
    </row>
    <row r="56" spans="1:9" x14ac:dyDescent="0.25">
      <c r="F56"/>
      <c r="I56"/>
    </row>
    <row r="57" spans="1:9" x14ac:dyDescent="0.25">
      <c r="F57"/>
      <c r="I57"/>
    </row>
    <row r="58" spans="1:9" x14ac:dyDescent="0.25">
      <c r="F58"/>
      <c r="I58"/>
    </row>
    <row r="59" spans="1:9" x14ac:dyDescent="0.25">
      <c r="A59" s="240"/>
      <c r="F59"/>
      <c r="I59"/>
    </row>
    <row r="60" spans="1:9" x14ac:dyDescent="0.25">
      <c r="F60"/>
      <c r="I60" s="240"/>
    </row>
    <row r="61" spans="1:9" x14ac:dyDescent="0.25">
      <c r="F61"/>
      <c r="I61"/>
    </row>
    <row r="62" spans="1:9" x14ac:dyDescent="0.25">
      <c r="F62"/>
      <c r="G62" s="56"/>
      <c r="I62" s="240"/>
    </row>
    <row r="63" spans="1:9" x14ac:dyDescent="0.25">
      <c r="F63"/>
      <c r="I63"/>
    </row>
    <row r="65" spans="1:1" x14ac:dyDescent="0.25">
      <c r="A65" s="240"/>
    </row>
  </sheetData>
  <hyperlinks>
    <hyperlink ref="A1" location="'Table of Contents'!A1" display="TOC" xr:uid="{00000000-0004-0000-0200-000000000000}"/>
  </hyperlinks>
  <pageMargins left="0.7" right="0.7" top="0.75" bottom="0.75" header="0.3" footer="0.3"/>
  <pageSetup scale="91" orientation="landscape" r:id="rId1"/>
  <headerFooter>
    <oddFooter>&amp;L&amp;D &amp;T&amp;C&amp;F&amp;R&amp;A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pageSetUpPr fitToPage="1"/>
  </sheetPr>
  <dimension ref="A1:T185"/>
  <sheetViews>
    <sheetView workbookViewId="0">
      <selection activeCell="P1" sqref="P1:P1048576"/>
    </sheetView>
  </sheetViews>
  <sheetFormatPr defaultRowHeight="13.2" x14ac:dyDescent="0.25"/>
  <cols>
    <col min="1" max="1" width="8.77734375" style="885"/>
    <col min="2" max="2" width="36.6640625" customWidth="1"/>
    <col min="3" max="3" width="14.44140625" style="1" hidden="1" customWidth="1"/>
    <col min="4" max="10" width="14.44140625" style="114" hidden="1" customWidth="1"/>
    <col min="11" max="13" width="14.44140625" style="114" customWidth="1"/>
    <col min="14" max="14" width="14.44140625" customWidth="1"/>
    <col min="15" max="16" width="14.44140625" style="1" customWidth="1"/>
    <col min="17" max="19" width="14.44140625" customWidth="1"/>
    <col min="20" max="20" width="14.6640625" style="2" customWidth="1"/>
  </cols>
  <sheetData>
    <row r="1" spans="1:19" x14ac:dyDescent="0.25">
      <c r="A1" s="874" t="s">
        <v>1021</v>
      </c>
      <c r="B1" s="371" t="s">
        <v>1348</v>
      </c>
      <c r="P1"/>
    </row>
    <row r="2" spans="1:19" ht="13.8" x14ac:dyDescent="0.25">
      <c r="A2" s="875" t="s">
        <v>259</v>
      </c>
      <c r="B2" s="45"/>
      <c r="E2" s="141"/>
      <c r="I2" s="141" t="s">
        <v>257</v>
      </c>
      <c r="J2" s="141"/>
      <c r="K2" s="141"/>
      <c r="L2" s="141"/>
      <c r="M2" s="141"/>
      <c r="N2" s="61" t="s">
        <v>364</v>
      </c>
      <c r="P2" s="46" t="s">
        <v>484</v>
      </c>
    </row>
    <row r="3" spans="1:19" ht="13.8" thickBot="1" x14ac:dyDescent="0.3">
      <c r="A3" s="876"/>
      <c r="B3" s="4"/>
      <c r="C3" s="23"/>
      <c r="D3" s="23"/>
      <c r="E3" s="23"/>
      <c r="F3" s="23"/>
      <c r="G3" s="23"/>
      <c r="H3" s="23"/>
      <c r="I3" s="23"/>
      <c r="J3" s="23"/>
      <c r="K3" s="23"/>
      <c r="L3" s="23"/>
      <c r="M3" s="23"/>
      <c r="N3" s="4"/>
      <c r="O3" s="23"/>
      <c r="P3" s="4"/>
      <c r="S3" s="4"/>
    </row>
    <row r="4" spans="1:19" ht="13.8" thickTop="1" x14ac:dyDescent="0.25">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t="s">
        <v>910</v>
      </c>
    </row>
    <row r="5" spans="1:19" x14ac:dyDescent="0.25">
      <c r="A5" s="878"/>
      <c r="B5" s="209"/>
      <c r="C5" s="127"/>
      <c r="D5" s="87"/>
      <c r="E5" s="113"/>
      <c r="F5" s="87"/>
      <c r="G5" s="87"/>
      <c r="H5" s="113"/>
      <c r="I5" s="290"/>
      <c r="J5" s="290"/>
      <c r="K5" s="290"/>
      <c r="L5" s="290"/>
      <c r="M5" s="290"/>
      <c r="N5" s="113" t="s">
        <v>515</v>
      </c>
      <c r="O5" s="88" t="s">
        <v>7</v>
      </c>
      <c r="P5" s="203" t="s">
        <v>782</v>
      </c>
    </row>
    <row r="6" spans="1:19" x14ac:dyDescent="0.25">
      <c r="A6" s="878"/>
      <c r="B6" s="209"/>
      <c r="C6" s="127"/>
      <c r="D6" s="127"/>
      <c r="E6" s="127"/>
      <c r="F6" s="127"/>
      <c r="G6" s="127"/>
      <c r="H6" s="127"/>
      <c r="I6" s="88"/>
      <c r="J6" s="88"/>
      <c r="K6" s="88"/>
      <c r="L6" s="88"/>
      <c r="M6" s="88"/>
      <c r="N6" s="127"/>
      <c r="O6" s="88" t="s">
        <v>8</v>
      </c>
      <c r="P6" s="47" t="s">
        <v>543</v>
      </c>
    </row>
    <row r="7" spans="1:19"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44561</v>
      </c>
      <c r="O7" s="9" t="s">
        <v>9</v>
      </c>
      <c r="P7" s="9" t="s">
        <v>546</v>
      </c>
    </row>
    <row r="8" spans="1:19" ht="13.8" thickTop="1" x14ac:dyDescent="0.25">
      <c r="A8" s="935"/>
      <c r="B8" s="210"/>
      <c r="C8" s="719"/>
      <c r="D8" s="133"/>
      <c r="E8" s="133"/>
      <c r="F8" s="133"/>
      <c r="G8" s="133"/>
      <c r="H8" s="133"/>
      <c r="I8" s="115"/>
      <c r="J8" s="115"/>
      <c r="K8" s="115"/>
      <c r="L8" s="115"/>
      <c r="M8" s="115"/>
      <c r="N8" s="133"/>
      <c r="O8" s="115"/>
      <c r="P8" s="115"/>
    </row>
    <row r="9" spans="1:19" x14ac:dyDescent="0.25">
      <c r="A9" s="881">
        <v>5308</v>
      </c>
      <c r="B9" s="63" t="s">
        <v>158</v>
      </c>
      <c r="C9" s="130"/>
      <c r="D9" s="13">
        <v>0</v>
      </c>
      <c r="E9" s="13"/>
      <c r="F9" s="13"/>
      <c r="G9" s="13"/>
      <c r="H9" s="13"/>
      <c r="I9" s="13"/>
      <c r="J9" s="13"/>
      <c r="K9" s="14">
        <v>300</v>
      </c>
      <c r="L9" s="13"/>
      <c r="M9" s="14">
        <v>300</v>
      </c>
      <c r="N9" s="13"/>
      <c r="O9" s="14">
        <v>300</v>
      </c>
      <c r="P9" s="14"/>
    </row>
    <row r="10" spans="1:19" x14ac:dyDescent="0.25">
      <c r="A10" s="881">
        <v>5314</v>
      </c>
      <c r="B10" s="63" t="s">
        <v>139</v>
      </c>
      <c r="C10" s="130"/>
      <c r="D10" s="13">
        <v>0</v>
      </c>
      <c r="E10" s="13">
        <v>40</v>
      </c>
      <c r="F10" s="13"/>
      <c r="G10" s="13"/>
      <c r="H10" s="13"/>
      <c r="I10" s="13"/>
      <c r="J10" s="13"/>
      <c r="K10" s="14">
        <v>100</v>
      </c>
      <c r="L10" s="13"/>
      <c r="M10" s="14">
        <v>100</v>
      </c>
      <c r="N10" s="13"/>
      <c r="O10" s="14">
        <v>100</v>
      </c>
      <c r="P10" s="14"/>
    </row>
    <row r="11" spans="1:19" x14ac:dyDescent="0.25">
      <c r="A11" s="881">
        <v>5344</v>
      </c>
      <c r="B11" s="63" t="s">
        <v>142</v>
      </c>
      <c r="C11" s="130">
        <v>318.62</v>
      </c>
      <c r="D11" s="13">
        <v>175.36</v>
      </c>
      <c r="E11" s="13">
        <v>215.24</v>
      </c>
      <c r="F11" s="13">
        <v>205.9</v>
      </c>
      <c r="G11" s="13">
        <v>198.64</v>
      </c>
      <c r="H11" s="13">
        <v>372.54</v>
      </c>
      <c r="I11" s="13">
        <v>173.23</v>
      </c>
      <c r="J11" s="13">
        <v>137.80000000000001</v>
      </c>
      <c r="K11" s="14">
        <v>350</v>
      </c>
      <c r="L11" s="13"/>
      <c r="M11" s="14">
        <v>150</v>
      </c>
      <c r="N11" s="144"/>
      <c r="O11" s="14">
        <v>150</v>
      </c>
      <c r="P11" s="14"/>
    </row>
    <row r="12" spans="1:19" x14ac:dyDescent="0.25">
      <c r="A12" s="881">
        <v>5345</v>
      </c>
      <c r="B12" s="63" t="s">
        <v>143</v>
      </c>
      <c r="C12" s="130">
        <v>3015</v>
      </c>
      <c r="D12" s="13">
        <v>884.56</v>
      </c>
      <c r="E12" s="13">
        <v>911.4</v>
      </c>
      <c r="F12" s="13">
        <v>1548.87</v>
      </c>
      <c r="G12" s="13">
        <v>1881.72</v>
      </c>
      <c r="H12" s="13">
        <v>2242.96</v>
      </c>
      <c r="I12" s="13">
        <v>269.26</v>
      </c>
      <c r="J12" s="13">
        <v>354.3</v>
      </c>
      <c r="K12" s="14"/>
      <c r="L12" s="13">
        <v>214.56</v>
      </c>
      <c r="M12" s="14"/>
      <c r="N12" s="13"/>
      <c r="O12" s="14"/>
      <c r="P12" s="14"/>
    </row>
    <row r="13" spans="1:19" x14ac:dyDescent="0.25">
      <c r="A13" s="881">
        <v>5420</v>
      </c>
      <c r="B13" s="63" t="s">
        <v>144</v>
      </c>
      <c r="C13" s="132">
        <v>103.4</v>
      </c>
      <c r="D13" s="18">
        <v>19.78</v>
      </c>
      <c r="E13" s="18">
        <v>71.92</v>
      </c>
      <c r="F13" s="18">
        <v>448.91</v>
      </c>
      <c r="G13" s="18">
        <v>6.5</v>
      </c>
      <c r="H13" s="18">
        <v>450</v>
      </c>
      <c r="I13" s="18">
        <v>168.99</v>
      </c>
      <c r="J13" s="18">
        <v>297.47000000000003</v>
      </c>
      <c r="K13" s="19">
        <v>450</v>
      </c>
      <c r="L13" s="18"/>
      <c r="M13" s="19">
        <v>150</v>
      </c>
      <c r="N13" s="18">
        <v>114.98</v>
      </c>
      <c r="O13" s="19">
        <v>150</v>
      </c>
      <c r="P13" s="19"/>
    </row>
    <row r="14" spans="1:19" ht="13.8" thickBot="1" x14ac:dyDescent="0.3">
      <c r="A14" s="881">
        <v>5730</v>
      </c>
      <c r="B14" s="63" t="s">
        <v>147</v>
      </c>
      <c r="C14" s="718"/>
      <c r="D14" s="39">
        <v>0</v>
      </c>
      <c r="E14" s="39"/>
      <c r="F14" s="39"/>
      <c r="G14" s="39"/>
      <c r="H14" s="39"/>
      <c r="I14" s="39"/>
      <c r="J14" s="39"/>
      <c r="K14" s="40"/>
      <c r="L14" s="39"/>
      <c r="M14" s="40"/>
      <c r="N14" s="39"/>
      <c r="O14" s="40"/>
      <c r="P14" s="40"/>
    </row>
    <row r="15" spans="1:19" x14ac:dyDescent="0.25">
      <c r="A15" s="881"/>
      <c r="B15" s="64" t="s">
        <v>449</v>
      </c>
      <c r="C15" s="132">
        <f t="shared" ref="C15:N15" si="0">SUM(C9:C14)</f>
        <v>3437.02</v>
      </c>
      <c r="D15" s="18">
        <f t="shared" si="0"/>
        <v>1079.7</v>
      </c>
      <c r="E15" s="18">
        <f t="shared" si="0"/>
        <v>1238.56</v>
      </c>
      <c r="F15" s="18">
        <f>SUM(F9:F14)</f>
        <v>2203.6799999999998</v>
      </c>
      <c r="G15" s="18">
        <f>SUM(G9:G14)</f>
        <v>2086.86</v>
      </c>
      <c r="H15" s="18">
        <f>SUM(H9:H14)</f>
        <v>3065.5</v>
      </c>
      <c r="I15" s="18">
        <f t="shared" si="0"/>
        <v>611.48</v>
      </c>
      <c r="J15" s="18">
        <f t="shared" ref="J15" si="1">SUM(J9:J14)</f>
        <v>789.57</v>
      </c>
      <c r="K15" s="124">
        <f>SUM(K9:K14)</f>
        <v>1200</v>
      </c>
      <c r="L15" s="126">
        <f t="shared" ref="L15:M15" si="2">SUM(L9:L14)</f>
        <v>214.56</v>
      </c>
      <c r="M15" s="124">
        <f t="shared" si="2"/>
        <v>700</v>
      </c>
      <c r="N15" s="18">
        <f t="shared" si="0"/>
        <v>114.98</v>
      </c>
      <c r="O15" s="124">
        <f>SUM(O9:O14)</f>
        <v>700</v>
      </c>
      <c r="P15" s="124">
        <f>SUM(P9:P14)</f>
        <v>0</v>
      </c>
    </row>
    <row r="16" spans="1:19" x14ac:dyDescent="0.25">
      <c r="A16" s="881"/>
      <c r="B16" s="63"/>
      <c r="C16" s="130"/>
      <c r="D16" s="13"/>
      <c r="E16" s="13"/>
      <c r="F16" s="13"/>
      <c r="G16" s="13"/>
      <c r="H16" s="13"/>
      <c r="I16" s="13"/>
      <c r="J16" s="13"/>
      <c r="K16" s="42"/>
      <c r="L16" s="13"/>
      <c r="M16" s="42"/>
      <c r="N16" s="13"/>
      <c r="O16" s="42"/>
      <c r="P16" s="42"/>
    </row>
    <row r="17" spans="1:19" x14ac:dyDescent="0.25">
      <c r="A17" s="881"/>
      <c r="B17" s="63"/>
      <c r="C17" s="130"/>
      <c r="D17" s="13"/>
      <c r="E17" s="13"/>
      <c r="F17" s="13"/>
      <c r="G17" s="13"/>
      <c r="H17" s="13"/>
      <c r="I17" s="13"/>
      <c r="J17" s="13"/>
      <c r="K17" s="42"/>
      <c r="L17" s="13"/>
      <c r="M17" s="42"/>
      <c r="N17" s="13"/>
      <c r="O17" s="42"/>
      <c r="P17" s="42"/>
    </row>
    <row r="18" spans="1:19" ht="13.8" thickBot="1" x14ac:dyDescent="0.3">
      <c r="A18" s="882"/>
      <c r="B18" s="723" t="s">
        <v>455</v>
      </c>
      <c r="C18" s="714">
        <f t="shared" ref="C18:O18" si="3">+C15</f>
        <v>3437.02</v>
      </c>
      <c r="D18" s="21">
        <f t="shared" si="3"/>
        <v>1079.7</v>
      </c>
      <c r="E18" s="21">
        <f t="shared" si="3"/>
        <v>1238.56</v>
      </c>
      <c r="F18" s="21">
        <f>+F15</f>
        <v>2203.6799999999998</v>
      </c>
      <c r="G18" s="21">
        <f>+G15</f>
        <v>2086.86</v>
      </c>
      <c r="H18" s="21">
        <f>+H15</f>
        <v>3065.5</v>
      </c>
      <c r="I18" s="21">
        <f t="shared" si="3"/>
        <v>611.48</v>
      </c>
      <c r="J18" s="21">
        <f t="shared" ref="J18" si="4">+J15</f>
        <v>789.57</v>
      </c>
      <c r="K18" s="41">
        <f t="shared" ref="K18:M18" si="5">+K15</f>
        <v>1200</v>
      </c>
      <c r="L18" s="21">
        <f t="shared" si="5"/>
        <v>214.56</v>
      </c>
      <c r="M18" s="41">
        <f t="shared" si="5"/>
        <v>700</v>
      </c>
      <c r="N18" s="21">
        <f t="shared" si="3"/>
        <v>114.98</v>
      </c>
      <c r="O18" s="41">
        <f t="shared" si="3"/>
        <v>700</v>
      </c>
      <c r="P18" s="41">
        <f>+O18</f>
        <v>700</v>
      </c>
    </row>
    <row r="19" spans="1:19" ht="13.8" thickTop="1" x14ac:dyDescent="0.25">
      <c r="A19" s="876"/>
      <c r="B19" s="4"/>
      <c r="C19" s="24"/>
      <c r="D19" s="24"/>
      <c r="E19" s="24"/>
      <c r="F19" s="24"/>
      <c r="G19" s="24"/>
      <c r="H19" s="24"/>
      <c r="I19" s="24"/>
      <c r="J19" s="24"/>
      <c r="K19" s="24"/>
      <c r="L19" s="24"/>
      <c r="M19" s="24"/>
      <c r="N19" s="25"/>
      <c r="O19" s="24"/>
      <c r="P19" s="23"/>
      <c r="Q19" s="25"/>
      <c r="R19" s="25"/>
      <c r="S19" s="25"/>
    </row>
    <row r="20" spans="1:19" ht="13.8" thickBot="1" x14ac:dyDescent="0.3">
      <c r="A20" s="876">
        <v>43788</v>
      </c>
      <c r="B20" s="4" t="s">
        <v>1349</v>
      </c>
      <c r="C20" s="23"/>
      <c r="D20" s="23"/>
      <c r="E20" s="23"/>
      <c r="F20" s="23"/>
      <c r="G20" s="23"/>
      <c r="H20" s="23"/>
      <c r="I20" s="23"/>
      <c r="J20" s="23"/>
      <c r="K20" s="23"/>
      <c r="L20" s="23"/>
      <c r="M20" s="23"/>
      <c r="N20" s="27"/>
      <c r="O20" s="23"/>
      <c r="P20" s="27"/>
      <c r="Q20" s="27"/>
      <c r="R20" s="27"/>
      <c r="S20" s="27"/>
    </row>
    <row r="21" spans="1:19" ht="13.8" thickTop="1" x14ac:dyDescent="0.25">
      <c r="A21" s="893"/>
      <c r="B21" s="452"/>
      <c r="C21" s="453" t="s">
        <v>127</v>
      </c>
      <c r="D21" s="454" t="s">
        <v>127</v>
      </c>
      <c r="E21" s="454" t="s">
        <v>127</v>
      </c>
      <c r="K21" s="455" t="s">
        <v>547</v>
      </c>
      <c r="L21" s="456" t="s">
        <v>9</v>
      </c>
      <c r="M21" s="457" t="s">
        <v>1073</v>
      </c>
      <c r="N21" s="456" t="s">
        <v>686</v>
      </c>
      <c r="O21" s="458"/>
      <c r="P21" s="457"/>
      <c r="Q21" s="25"/>
      <c r="R21" s="25"/>
      <c r="S21" s="25"/>
    </row>
    <row r="22" spans="1:19" ht="13.8" thickBot="1" x14ac:dyDescent="0.3">
      <c r="A22" s="894" t="s">
        <v>128</v>
      </c>
      <c r="B22" s="459"/>
      <c r="C22" s="460" t="s">
        <v>347</v>
      </c>
      <c r="D22" s="460" t="s">
        <v>722</v>
      </c>
      <c r="E22" s="461" t="s">
        <v>737</v>
      </c>
      <c r="K22" s="462" t="s">
        <v>909</v>
      </c>
      <c r="L22" s="462" t="s">
        <v>910</v>
      </c>
      <c r="M22" s="461" t="s">
        <v>1075</v>
      </c>
      <c r="N22" s="463" t="s">
        <v>1075</v>
      </c>
      <c r="O22" s="464" t="s">
        <v>1074</v>
      </c>
      <c r="P22" s="462"/>
      <c r="Q22" s="27"/>
      <c r="R22" s="27"/>
      <c r="S22" s="27"/>
    </row>
    <row r="23" spans="1:19" ht="13.8" thickTop="1" x14ac:dyDescent="0.25">
      <c r="A23" s="936"/>
      <c r="B23" s="493"/>
      <c r="C23" s="491"/>
      <c r="D23" s="491"/>
      <c r="E23" s="491"/>
      <c r="K23" s="494"/>
      <c r="L23" s="655"/>
      <c r="M23" s="471"/>
      <c r="N23" s="477"/>
      <c r="O23" s="470"/>
      <c r="P23" s="471"/>
      <c r="Q23" s="27"/>
      <c r="R23" s="27"/>
      <c r="S23" s="27"/>
    </row>
    <row r="24" spans="1:19" x14ac:dyDescent="0.25">
      <c r="A24" s="907">
        <v>5308</v>
      </c>
      <c r="B24" s="472" t="s">
        <v>158</v>
      </c>
      <c r="C24" s="476"/>
      <c r="D24" s="476">
        <v>0</v>
      </c>
      <c r="E24" s="476"/>
      <c r="K24" s="475">
        <f t="shared" ref="K24:K29" si="6">M9</f>
        <v>300</v>
      </c>
      <c r="L24" s="497">
        <f t="shared" ref="L24:L29" si="7">+O9</f>
        <v>300</v>
      </c>
      <c r="M24" s="471">
        <f t="shared" ref="M24:M29" si="8">+L24-K24</f>
        <v>0</v>
      </c>
      <c r="N24" s="477" t="str">
        <f t="shared" ref="N24:N29" si="9">IF(K24+L24&lt;&gt;0,IF(K24&lt;&gt;0,IF(M24&lt;&gt;0,ROUND((+M24/K24),4),""),1),"")</f>
        <v/>
      </c>
      <c r="O24" s="470"/>
      <c r="P24" s="471"/>
      <c r="Q24" s="27"/>
      <c r="R24" s="27"/>
      <c r="S24" s="27"/>
    </row>
    <row r="25" spans="1:19" x14ac:dyDescent="0.25">
      <c r="A25" s="907">
        <v>5314</v>
      </c>
      <c r="B25" s="472" t="s">
        <v>139</v>
      </c>
      <c r="C25" s="476"/>
      <c r="D25" s="476">
        <v>0</v>
      </c>
      <c r="E25" s="476">
        <v>40</v>
      </c>
      <c r="K25" s="475">
        <f t="shared" si="6"/>
        <v>100</v>
      </c>
      <c r="L25" s="497">
        <f t="shared" si="7"/>
        <v>100</v>
      </c>
      <c r="M25" s="471">
        <f t="shared" si="8"/>
        <v>0</v>
      </c>
      <c r="N25" s="477" t="str">
        <f t="shared" si="9"/>
        <v/>
      </c>
      <c r="O25" s="470"/>
      <c r="P25" s="471"/>
      <c r="Q25" s="27"/>
      <c r="R25" s="27"/>
      <c r="S25" s="27"/>
    </row>
    <row r="26" spans="1:19" x14ac:dyDescent="0.25">
      <c r="A26" s="907">
        <v>5344</v>
      </c>
      <c r="B26" s="472" t="s">
        <v>142</v>
      </c>
      <c r="C26" s="476">
        <v>318.62</v>
      </c>
      <c r="D26" s="476">
        <v>175.36</v>
      </c>
      <c r="E26" s="476">
        <v>215.24</v>
      </c>
      <c r="K26" s="475">
        <f t="shared" si="6"/>
        <v>150</v>
      </c>
      <c r="L26" s="497">
        <f t="shared" si="7"/>
        <v>150</v>
      </c>
      <c r="M26" s="471">
        <f t="shared" si="8"/>
        <v>0</v>
      </c>
      <c r="N26" s="477" t="str">
        <f t="shared" si="9"/>
        <v/>
      </c>
      <c r="O26" s="470"/>
      <c r="P26" s="471"/>
      <c r="Q26" s="27"/>
      <c r="R26" s="27"/>
      <c r="S26" s="27"/>
    </row>
    <row r="27" spans="1:19" x14ac:dyDescent="0.25">
      <c r="A27" s="907">
        <v>5345</v>
      </c>
      <c r="B27" s="472" t="s">
        <v>143</v>
      </c>
      <c r="C27" s="476">
        <v>3015</v>
      </c>
      <c r="D27" s="476">
        <v>884.56</v>
      </c>
      <c r="E27" s="476">
        <v>911.4</v>
      </c>
      <c r="K27" s="475">
        <f t="shared" si="6"/>
        <v>0</v>
      </c>
      <c r="L27" s="497">
        <f t="shared" si="7"/>
        <v>0</v>
      </c>
      <c r="M27" s="471">
        <f t="shared" si="8"/>
        <v>0</v>
      </c>
      <c r="N27" s="477" t="str">
        <f t="shared" si="9"/>
        <v/>
      </c>
      <c r="O27" s="470"/>
      <c r="P27" s="471"/>
      <c r="Q27" s="27"/>
      <c r="R27" s="27"/>
      <c r="S27" s="27"/>
    </row>
    <row r="28" spans="1:19" x14ac:dyDescent="0.25">
      <c r="A28" s="907">
        <v>5420</v>
      </c>
      <c r="B28" s="472" t="s">
        <v>144</v>
      </c>
      <c r="C28" s="468">
        <v>103.4</v>
      </c>
      <c r="D28" s="468">
        <v>19.78</v>
      </c>
      <c r="E28" s="468">
        <v>71.92</v>
      </c>
      <c r="K28" s="475">
        <f t="shared" si="6"/>
        <v>150</v>
      </c>
      <c r="L28" s="497">
        <f t="shared" si="7"/>
        <v>150</v>
      </c>
      <c r="M28" s="471">
        <f t="shared" si="8"/>
        <v>0</v>
      </c>
      <c r="N28" s="477" t="str">
        <f t="shared" si="9"/>
        <v/>
      </c>
      <c r="O28" s="470"/>
      <c r="P28" s="471"/>
      <c r="Q28" s="27"/>
      <c r="R28" s="27"/>
      <c r="S28" s="27"/>
    </row>
    <row r="29" spans="1:19" ht="13.8" thickBot="1" x14ac:dyDescent="0.3">
      <c r="A29" s="907">
        <v>5730</v>
      </c>
      <c r="B29" s="472" t="s">
        <v>147</v>
      </c>
      <c r="C29" s="495"/>
      <c r="D29" s="495">
        <v>0</v>
      </c>
      <c r="E29" s="495"/>
      <c r="K29" s="475">
        <f t="shared" si="6"/>
        <v>0</v>
      </c>
      <c r="L29" s="497">
        <f t="shared" si="7"/>
        <v>0</v>
      </c>
      <c r="M29" s="471">
        <f t="shared" si="8"/>
        <v>0</v>
      </c>
      <c r="N29" s="477" t="str">
        <f t="shared" si="9"/>
        <v/>
      </c>
      <c r="O29" s="470"/>
      <c r="P29" s="471"/>
      <c r="Q29" s="27"/>
      <c r="R29" s="27"/>
      <c r="S29" s="27"/>
    </row>
    <row r="30" spans="1:19" x14ac:dyDescent="0.25">
      <c r="A30" s="876"/>
      <c r="B30" s="4"/>
      <c r="C30" s="23"/>
      <c r="D30" s="23"/>
      <c r="E30" s="23"/>
      <c r="F30" s="23"/>
      <c r="G30" s="23"/>
      <c r="K30" s="23"/>
      <c r="L30" s="23"/>
      <c r="M30" s="23"/>
      <c r="N30" s="27"/>
      <c r="O30" s="23"/>
      <c r="P30" s="23"/>
      <c r="Q30" s="27"/>
      <c r="R30" s="27"/>
      <c r="S30" s="27"/>
    </row>
    <row r="31" spans="1:19" x14ac:dyDescent="0.25">
      <c r="A31" s="876"/>
      <c r="B31" s="4" t="s">
        <v>1363</v>
      </c>
      <c r="C31" s="23"/>
      <c r="D31" s="23"/>
      <c r="E31" s="23"/>
      <c r="F31" s="23"/>
      <c r="G31" s="23"/>
      <c r="K31" s="742">
        <f>SUM(K24:K30)</f>
        <v>700</v>
      </c>
      <c r="L31" s="742">
        <f>SUM(I20:I30)</f>
        <v>0</v>
      </c>
      <c r="M31" s="202">
        <f>+L31-K31</f>
        <v>-700</v>
      </c>
      <c r="N31" s="743">
        <f>IF(K31+L31&lt;&gt;0,IF(K31&lt;&gt;0,IF(M31&lt;&gt;0,ROUND((+M31/K31),4),""),1),"")</f>
        <v>-1</v>
      </c>
      <c r="O31" s="23"/>
      <c r="P31" s="23"/>
      <c r="Q31" s="27"/>
      <c r="R31" s="27"/>
      <c r="S31" s="27"/>
    </row>
    <row r="32" spans="1:19" x14ac:dyDescent="0.25">
      <c r="A32" s="876"/>
      <c r="B32" s="4"/>
      <c r="C32" s="23"/>
      <c r="D32" s="23"/>
      <c r="E32" s="23"/>
      <c r="F32" s="23"/>
      <c r="G32" s="23"/>
      <c r="H32" s="23"/>
      <c r="I32" s="23"/>
      <c r="J32" s="23"/>
      <c r="K32" s="23"/>
      <c r="L32" s="23"/>
      <c r="M32" s="23"/>
      <c r="N32" s="27"/>
      <c r="O32" s="23"/>
      <c r="P32" s="23"/>
      <c r="Q32" s="27"/>
      <c r="R32" s="27"/>
      <c r="S32" s="27"/>
    </row>
    <row r="33" spans="1:19" x14ac:dyDescent="0.25">
      <c r="A33" s="876"/>
      <c r="B33" s="4"/>
      <c r="C33" s="23"/>
      <c r="D33" s="23"/>
      <c r="E33" s="23"/>
      <c r="F33" s="23"/>
      <c r="G33" s="23"/>
      <c r="H33" s="23"/>
      <c r="I33" s="23"/>
      <c r="J33" s="23"/>
      <c r="K33" s="23"/>
      <c r="L33" s="23"/>
      <c r="M33" s="23"/>
      <c r="N33" s="27"/>
      <c r="O33" s="23"/>
      <c r="P33" s="23"/>
      <c r="Q33" s="27"/>
      <c r="R33" s="27"/>
      <c r="S33" s="27"/>
    </row>
    <row r="34" spans="1:19" x14ac:dyDescent="0.25">
      <c r="A34" s="876"/>
      <c r="B34" s="4"/>
      <c r="C34" s="23"/>
      <c r="D34" s="23"/>
      <c r="E34" s="23"/>
      <c r="F34" s="23"/>
      <c r="G34" s="23"/>
      <c r="H34" s="23"/>
      <c r="I34" s="23"/>
      <c r="J34" s="23"/>
      <c r="K34" s="23"/>
      <c r="L34" s="23"/>
      <c r="M34" s="23"/>
      <c r="N34" s="27"/>
      <c r="O34" s="23"/>
      <c r="P34" s="23"/>
      <c r="Q34" s="27"/>
      <c r="R34" s="27"/>
      <c r="S34" s="27"/>
    </row>
    <row r="35" spans="1:19" x14ac:dyDescent="0.25">
      <c r="A35" s="876"/>
      <c r="B35" s="4"/>
      <c r="C35" s="23"/>
      <c r="D35" s="23"/>
      <c r="E35" s="23"/>
      <c r="F35" s="23"/>
      <c r="G35" s="23"/>
      <c r="H35" s="23"/>
      <c r="I35" s="23"/>
      <c r="J35" s="23"/>
      <c r="K35" s="23"/>
      <c r="L35" s="23"/>
      <c r="M35" s="23"/>
      <c r="N35" s="27"/>
      <c r="O35" s="23"/>
      <c r="P35" s="23"/>
      <c r="Q35" s="27"/>
      <c r="R35" s="27"/>
      <c r="S35" s="27"/>
    </row>
    <row r="36" spans="1:19" x14ac:dyDescent="0.25">
      <c r="A36" s="876"/>
      <c r="B36" s="4"/>
      <c r="C36" s="23"/>
      <c r="D36" s="23"/>
      <c r="E36" s="23"/>
      <c r="F36" s="23"/>
      <c r="G36" s="23"/>
      <c r="H36" s="23"/>
      <c r="I36" s="23"/>
      <c r="J36" s="23"/>
      <c r="K36" s="23"/>
      <c r="L36" s="23"/>
      <c r="M36" s="23"/>
      <c r="N36" s="27"/>
      <c r="O36" s="23"/>
      <c r="P36" s="23"/>
      <c r="Q36" s="27"/>
      <c r="R36" s="27"/>
      <c r="S36" s="27"/>
    </row>
    <row r="37" spans="1:19" x14ac:dyDescent="0.25">
      <c r="A37" s="876"/>
      <c r="B37" s="4"/>
      <c r="C37" s="23"/>
      <c r="D37" s="23"/>
      <c r="E37" s="23"/>
      <c r="F37" s="23"/>
      <c r="G37" s="23"/>
      <c r="H37" s="23"/>
      <c r="I37" s="23"/>
      <c r="J37" s="23"/>
      <c r="K37" s="23"/>
      <c r="L37" s="23"/>
      <c r="M37" s="23"/>
      <c r="N37" s="27"/>
      <c r="O37" s="23"/>
      <c r="P37" s="23"/>
      <c r="Q37" s="27"/>
      <c r="R37" s="27"/>
      <c r="S37" s="27"/>
    </row>
    <row r="38" spans="1:19" x14ac:dyDescent="0.25">
      <c r="A38" s="876"/>
      <c r="B38" s="4"/>
      <c r="C38" s="23"/>
      <c r="D38" s="23"/>
      <c r="E38" s="23"/>
      <c r="F38" s="23"/>
      <c r="G38" s="23"/>
      <c r="H38" s="23"/>
      <c r="I38" s="23"/>
      <c r="J38" s="23"/>
      <c r="K38" s="23"/>
      <c r="L38" s="23"/>
      <c r="M38" s="23"/>
      <c r="N38" s="27"/>
      <c r="O38" s="23"/>
      <c r="P38" s="23"/>
      <c r="Q38" s="27"/>
      <c r="R38" s="27"/>
      <c r="S38" s="27"/>
    </row>
    <row r="39" spans="1:19" x14ac:dyDescent="0.25">
      <c r="A39" s="876"/>
      <c r="B39" s="4"/>
      <c r="C39" s="23"/>
      <c r="D39" s="23"/>
      <c r="E39" s="23"/>
      <c r="F39" s="23"/>
      <c r="G39" s="23"/>
      <c r="H39" s="23"/>
      <c r="I39" s="23"/>
      <c r="J39" s="23"/>
      <c r="K39" s="23"/>
      <c r="L39" s="23"/>
      <c r="M39" s="23"/>
      <c r="N39" s="27"/>
      <c r="O39" s="23"/>
      <c r="P39" s="23"/>
      <c r="Q39" s="27"/>
      <c r="R39" s="27"/>
      <c r="S39" s="27"/>
    </row>
    <row r="40" spans="1:19" x14ac:dyDescent="0.25">
      <c r="A40" s="876"/>
      <c r="B40" s="4"/>
      <c r="C40" s="23"/>
      <c r="D40" s="23"/>
      <c r="E40" s="23"/>
      <c r="F40" s="23"/>
      <c r="G40" s="23"/>
      <c r="H40" s="23"/>
      <c r="I40" s="23"/>
      <c r="J40" s="23"/>
      <c r="K40" s="23"/>
      <c r="L40" s="23"/>
      <c r="M40" s="23"/>
      <c r="N40" s="27"/>
      <c r="O40" s="23"/>
      <c r="P40" s="23"/>
      <c r="Q40" s="27"/>
      <c r="R40" s="27"/>
      <c r="S40" s="27"/>
    </row>
    <row r="41" spans="1:19" x14ac:dyDescent="0.25">
      <c r="A41" s="876"/>
      <c r="B41" s="4"/>
      <c r="C41" s="23"/>
      <c r="D41" s="23"/>
      <c r="E41" s="23"/>
      <c r="F41" s="23"/>
      <c r="G41" s="23"/>
      <c r="H41" s="23"/>
      <c r="I41" s="23"/>
      <c r="J41" s="23"/>
      <c r="K41" s="23"/>
      <c r="L41" s="23"/>
      <c r="M41" s="23"/>
      <c r="N41" s="27"/>
      <c r="O41" s="23"/>
      <c r="P41" s="23"/>
      <c r="Q41" s="27"/>
      <c r="R41" s="27"/>
      <c r="S41" s="27"/>
    </row>
    <row r="42" spans="1:19" x14ac:dyDescent="0.25">
      <c r="A42" s="876"/>
      <c r="B42" s="4"/>
      <c r="C42" s="23"/>
      <c r="D42" s="23"/>
      <c r="E42" s="23"/>
      <c r="F42" s="23"/>
      <c r="G42" s="23"/>
      <c r="H42" s="23"/>
      <c r="I42" s="23"/>
      <c r="J42" s="23"/>
      <c r="K42" s="23"/>
      <c r="L42" s="23"/>
      <c r="M42" s="23"/>
      <c r="N42" s="27"/>
      <c r="O42" s="23"/>
      <c r="P42" s="23"/>
      <c r="Q42" s="27"/>
      <c r="R42" s="27"/>
      <c r="S42" s="27"/>
    </row>
    <row r="43" spans="1:19" x14ac:dyDescent="0.25">
      <c r="A43" s="876"/>
      <c r="B43" s="4"/>
      <c r="C43" s="23"/>
      <c r="D43" s="23"/>
      <c r="E43" s="23"/>
      <c r="F43" s="23"/>
      <c r="G43" s="23"/>
      <c r="H43" s="23"/>
      <c r="I43" s="23"/>
      <c r="J43" s="23"/>
      <c r="K43" s="23"/>
      <c r="L43" s="23"/>
      <c r="M43" s="23"/>
      <c r="N43" s="27"/>
      <c r="O43" s="23"/>
      <c r="P43" s="23"/>
      <c r="Q43" s="27"/>
      <c r="R43" s="27"/>
      <c r="S43" s="27"/>
    </row>
    <row r="44" spans="1:19" x14ac:dyDescent="0.25">
      <c r="A44" s="876"/>
      <c r="B44" s="4"/>
      <c r="C44" s="23"/>
      <c r="D44" s="23"/>
      <c r="E44" s="23"/>
      <c r="F44" s="23"/>
      <c r="G44" s="23"/>
      <c r="H44" s="23"/>
      <c r="I44" s="23"/>
      <c r="J44" s="23"/>
      <c r="K44" s="23"/>
      <c r="L44" s="23"/>
      <c r="M44" s="23"/>
      <c r="N44" s="27"/>
      <c r="O44" s="23"/>
      <c r="P44" s="23"/>
      <c r="Q44" s="27"/>
      <c r="R44" s="27"/>
      <c r="S44" s="27"/>
    </row>
    <row r="45" spans="1:19" x14ac:dyDescent="0.25">
      <c r="A45" s="876"/>
      <c r="B45" s="4"/>
      <c r="C45" s="23"/>
      <c r="D45" s="23"/>
      <c r="E45" s="23"/>
      <c r="F45" s="23"/>
      <c r="G45" s="23"/>
      <c r="H45" s="23"/>
      <c r="I45" s="23"/>
      <c r="J45" s="23"/>
      <c r="K45" s="23"/>
      <c r="L45" s="23"/>
      <c r="M45" s="23"/>
      <c r="N45" s="27"/>
      <c r="O45" s="23"/>
      <c r="P45" s="23"/>
      <c r="Q45" s="27"/>
      <c r="R45" s="27"/>
      <c r="S45" s="27"/>
    </row>
    <row r="46" spans="1:19" x14ac:dyDescent="0.25">
      <c r="A46" s="876"/>
      <c r="B46" s="4"/>
      <c r="C46" s="23"/>
      <c r="D46" s="23"/>
      <c r="E46" s="23"/>
      <c r="F46" s="23"/>
      <c r="G46" s="23"/>
      <c r="H46" s="23"/>
      <c r="I46" s="23"/>
      <c r="J46" s="23"/>
      <c r="K46" s="23"/>
      <c r="L46" s="23"/>
      <c r="M46" s="23"/>
      <c r="N46" s="27"/>
      <c r="O46" s="23"/>
      <c r="P46" s="23"/>
      <c r="Q46" s="27"/>
      <c r="R46" s="27"/>
      <c r="S46" s="27"/>
    </row>
    <row r="47" spans="1:19" x14ac:dyDescent="0.25">
      <c r="A47" s="876"/>
      <c r="B47" s="4"/>
      <c r="C47" s="23"/>
      <c r="D47" s="23"/>
      <c r="E47" s="23"/>
      <c r="F47" s="23"/>
      <c r="G47" s="23"/>
      <c r="H47" s="23"/>
      <c r="I47" s="23"/>
      <c r="J47" s="23"/>
      <c r="K47" s="23"/>
      <c r="L47" s="23"/>
      <c r="M47" s="23"/>
      <c r="N47" s="27"/>
      <c r="O47" s="23"/>
      <c r="P47" s="23"/>
      <c r="Q47" s="27"/>
      <c r="R47" s="27"/>
      <c r="S47" s="27"/>
    </row>
    <row r="48" spans="1:19" x14ac:dyDescent="0.25">
      <c r="A48" s="876"/>
      <c r="B48" s="4"/>
      <c r="C48" s="23"/>
      <c r="D48" s="23"/>
      <c r="E48" s="23"/>
      <c r="F48" s="23"/>
      <c r="G48" s="23"/>
      <c r="H48" s="23"/>
      <c r="I48" s="23"/>
      <c r="J48" s="23"/>
      <c r="K48" s="23"/>
      <c r="L48" s="23"/>
      <c r="M48" s="23"/>
      <c r="N48" s="27"/>
      <c r="O48" s="23"/>
      <c r="P48" s="23"/>
      <c r="Q48" s="27"/>
      <c r="R48" s="27"/>
      <c r="S48" s="27"/>
    </row>
    <row r="49" spans="1:19" x14ac:dyDescent="0.25">
      <c r="A49" s="876"/>
      <c r="B49" s="4"/>
      <c r="C49" s="23"/>
      <c r="D49" s="23"/>
      <c r="E49" s="23"/>
      <c r="F49" s="23"/>
      <c r="G49" s="23"/>
      <c r="H49" s="23"/>
      <c r="I49" s="23"/>
      <c r="J49" s="23"/>
      <c r="K49" s="23"/>
      <c r="L49" s="23"/>
      <c r="M49" s="23"/>
      <c r="N49" s="27"/>
      <c r="O49" s="23"/>
      <c r="P49" s="23"/>
      <c r="Q49" s="27"/>
      <c r="R49" s="27"/>
      <c r="S49" s="27"/>
    </row>
    <row r="50" spans="1:19" x14ac:dyDescent="0.25">
      <c r="A50" s="876"/>
      <c r="B50" s="4"/>
      <c r="C50" s="23"/>
      <c r="D50" s="23"/>
      <c r="E50" s="23"/>
      <c r="F50" s="23"/>
      <c r="G50" s="23"/>
      <c r="H50" s="23"/>
      <c r="I50" s="23"/>
      <c r="J50" s="23"/>
      <c r="K50" s="23"/>
      <c r="L50" s="23"/>
      <c r="M50" s="23"/>
      <c r="N50" s="27"/>
      <c r="O50" s="23"/>
      <c r="P50" s="23"/>
      <c r="Q50" s="27"/>
      <c r="R50" s="27"/>
      <c r="S50" s="27"/>
    </row>
    <row r="51" spans="1:19" x14ac:dyDescent="0.25">
      <c r="A51" s="876"/>
      <c r="B51" s="4"/>
      <c r="C51" s="23"/>
      <c r="D51" s="23"/>
      <c r="E51" s="23"/>
      <c r="F51" s="23"/>
      <c r="G51" s="23"/>
      <c r="H51" s="23"/>
      <c r="I51" s="23"/>
      <c r="J51" s="23"/>
      <c r="K51" s="23"/>
      <c r="L51" s="23"/>
      <c r="M51" s="23"/>
      <c r="N51" s="27"/>
      <c r="O51" s="23"/>
      <c r="P51" s="23"/>
      <c r="Q51" s="27"/>
      <c r="R51" s="27"/>
      <c r="S51" s="27"/>
    </row>
    <row r="52" spans="1:19" x14ac:dyDescent="0.25">
      <c r="A52" s="876"/>
      <c r="B52" s="4"/>
      <c r="C52" s="23"/>
      <c r="D52" s="23"/>
      <c r="E52" s="23"/>
      <c r="F52" s="23"/>
      <c r="G52" s="23"/>
      <c r="H52" s="23"/>
      <c r="I52" s="23"/>
      <c r="J52" s="23"/>
      <c r="K52" s="23"/>
      <c r="L52" s="23"/>
      <c r="M52" s="23"/>
      <c r="N52" s="27"/>
      <c r="O52" s="23"/>
      <c r="P52" s="23"/>
      <c r="Q52" s="27"/>
      <c r="R52" s="27"/>
      <c r="S52" s="27"/>
    </row>
    <row r="53" spans="1:19" x14ac:dyDescent="0.25">
      <c r="A53" s="876"/>
      <c r="B53" s="4"/>
      <c r="C53" s="23"/>
      <c r="D53" s="23"/>
      <c r="E53" s="23"/>
      <c r="F53" s="23"/>
      <c r="G53" s="23"/>
      <c r="H53" s="23"/>
      <c r="I53" s="23"/>
      <c r="J53" s="23"/>
      <c r="K53" s="23"/>
      <c r="L53" s="23"/>
      <c r="M53" s="23"/>
      <c r="N53" s="27"/>
      <c r="O53" s="23"/>
      <c r="P53" s="23"/>
      <c r="Q53" s="27"/>
      <c r="R53" s="27"/>
      <c r="S53" s="27"/>
    </row>
    <row r="54" spans="1:19" x14ac:dyDescent="0.25">
      <c r="A54" s="876"/>
      <c r="B54" s="4"/>
      <c r="C54" s="23"/>
      <c r="D54" s="23"/>
      <c r="E54" s="23"/>
      <c r="F54" s="23"/>
      <c r="G54" s="23"/>
      <c r="H54" s="23"/>
      <c r="I54" s="23"/>
      <c r="J54" s="23"/>
      <c r="K54" s="23"/>
      <c r="L54" s="23"/>
      <c r="M54" s="23"/>
      <c r="N54" s="27"/>
      <c r="O54" s="23"/>
      <c r="P54" s="23"/>
      <c r="Q54" s="27"/>
      <c r="R54" s="27"/>
      <c r="S54" s="27"/>
    </row>
    <row r="55" spans="1:19" x14ac:dyDescent="0.25">
      <c r="A55" s="876"/>
      <c r="B55" s="4"/>
      <c r="C55" s="23"/>
      <c r="D55" s="23"/>
      <c r="E55" s="23"/>
      <c r="F55" s="23"/>
      <c r="G55" s="23"/>
      <c r="H55" s="23"/>
      <c r="I55" s="23"/>
      <c r="J55" s="23"/>
      <c r="K55" s="23"/>
      <c r="L55" s="23"/>
      <c r="M55" s="23"/>
      <c r="N55" s="27"/>
      <c r="O55" s="23"/>
      <c r="P55" s="23"/>
      <c r="Q55" s="27"/>
      <c r="R55" s="27"/>
      <c r="S55" s="27"/>
    </row>
    <row r="56" spans="1:19" x14ac:dyDescent="0.25">
      <c r="A56" s="876"/>
      <c r="B56" s="4"/>
      <c r="C56" s="23"/>
      <c r="D56" s="23"/>
      <c r="E56" s="23"/>
      <c r="F56" s="23"/>
      <c r="G56" s="23"/>
      <c r="H56" s="23"/>
      <c r="I56" s="23"/>
      <c r="J56" s="23"/>
      <c r="K56" s="23"/>
      <c r="L56" s="23"/>
      <c r="M56" s="23"/>
      <c r="N56" s="27"/>
      <c r="O56" s="23"/>
      <c r="P56" s="23"/>
      <c r="Q56" s="27"/>
      <c r="R56" s="27"/>
      <c r="S56" s="27"/>
    </row>
    <row r="57" spans="1:19" x14ac:dyDescent="0.25">
      <c r="A57" s="876"/>
      <c r="B57" s="4"/>
      <c r="C57" s="23"/>
      <c r="D57" s="23"/>
      <c r="E57" s="23"/>
      <c r="F57" s="23"/>
      <c r="G57" s="23"/>
      <c r="H57" s="23"/>
      <c r="I57" s="23"/>
      <c r="J57" s="23"/>
      <c r="K57" s="23"/>
      <c r="L57" s="23"/>
      <c r="M57" s="23"/>
      <c r="N57" s="27"/>
      <c r="O57" s="23"/>
      <c r="P57" s="23"/>
      <c r="Q57" s="27"/>
      <c r="R57" s="27"/>
      <c r="S57" s="27"/>
    </row>
    <row r="58" spans="1:19" x14ac:dyDescent="0.25">
      <c r="A58" s="876"/>
      <c r="B58" s="4"/>
      <c r="C58" s="23"/>
      <c r="D58" s="23"/>
      <c r="E58" s="23"/>
      <c r="F58" s="23"/>
      <c r="G58" s="23"/>
      <c r="H58" s="23"/>
      <c r="I58" s="23"/>
      <c r="J58" s="23"/>
      <c r="K58" s="23"/>
      <c r="L58" s="23"/>
      <c r="M58" s="23"/>
      <c r="N58" s="27"/>
      <c r="O58" s="23"/>
      <c r="P58" s="23"/>
      <c r="Q58" s="27"/>
      <c r="R58" s="27"/>
      <c r="S58" s="27"/>
    </row>
    <row r="59" spans="1:19" x14ac:dyDescent="0.25">
      <c r="A59" s="876"/>
      <c r="B59" s="4"/>
      <c r="C59" s="23"/>
      <c r="D59" s="23"/>
      <c r="E59" s="23"/>
      <c r="F59" s="23"/>
      <c r="G59" s="23"/>
      <c r="H59" s="23"/>
      <c r="I59" s="23"/>
      <c r="J59" s="23"/>
      <c r="K59" s="23"/>
      <c r="L59" s="23"/>
      <c r="M59" s="23"/>
      <c r="N59" s="27"/>
      <c r="O59" s="23"/>
      <c r="P59" s="23"/>
      <c r="Q59" s="27"/>
      <c r="R59" s="27"/>
      <c r="S59" s="27"/>
    </row>
    <row r="60" spans="1:19" x14ac:dyDescent="0.25">
      <c r="A60" s="876"/>
      <c r="B60" s="4"/>
      <c r="C60" s="23"/>
      <c r="D60" s="23"/>
      <c r="E60" s="23"/>
      <c r="F60" s="23"/>
      <c r="G60" s="23"/>
      <c r="H60" s="23"/>
      <c r="I60" s="23"/>
      <c r="J60" s="23"/>
      <c r="K60" s="23"/>
      <c r="L60" s="23"/>
      <c r="M60" s="23"/>
      <c r="N60" s="27"/>
      <c r="O60" s="23"/>
      <c r="P60" s="23"/>
      <c r="Q60" s="27"/>
      <c r="R60" s="27"/>
      <c r="S60" s="27"/>
    </row>
    <row r="61" spans="1:19" x14ac:dyDescent="0.25">
      <c r="A61" s="876"/>
      <c r="B61" s="4"/>
      <c r="C61" s="23"/>
      <c r="D61" s="23"/>
      <c r="E61" s="23"/>
      <c r="F61" s="23"/>
      <c r="G61" s="23"/>
      <c r="H61" s="23"/>
      <c r="I61" s="23"/>
      <c r="J61" s="23"/>
      <c r="K61" s="23"/>
      <c r="L61" s="23"/>
      <c r="M61" s="23"/>
      <c r="N61" s="27"/>
      <c r="O61" s="23"/>
      <c r="P61" s="23"/>
      <c r="Q61" s="27"/>
      <c r="R61" s="27"/>
      <c r="S61" s="27"/>
    </row>
    <row r="62" spans="1:19" x14ac:dyDescent="0.25">
      <c r="A62" s="876"/>
      <c r="B62" s="4"/>
      <c r="C62" s="23"/>
      <c r="D62" s="23"/>
      <c r="E62" s="23"/>
      <c r="F62" s="23"/>
      <c r="G62" s="23"/>
      <c r="H62" s="23"/>
      <c r="I62" s="23"/>
      <c r="J62" s="23"/>
      <c r="K62" s="23"/>
      <c r="L62" s="23"/>
      <c r="M62" s="23"/>
      <c r="N62" s="27"/>
      <c r="O62" s="23"/>
      <c r="P62" s="23"/>
      <c r="Q62" s="27"/>
      <c r="R62" s="27"/>
      <c r="S62" s="27"/>
    </row>
    <row r="63" spans="1:19" x14ac:dyDescent="0.25">
      <c r="A63" s="876"/>
      <c r="B63" s="4"/>
      <c r="C63" s="23"/>
      <c r="D63" s="23"/>
      <c r="E63" s="23"/>
      <c r="F63" s="23"/>
      <c r="G63" s="23"/>
      <c r="H63" s="23"/>
      <c r="I63" s="23"/>
      <c r="J63" s="23"/>
      <c r="K63" s="23"/>
      <c r="L63" s="23"/>
      <c r="M63" s="23"/>
      <c r="N63" s="27"/>
      <c r="O63" s="23"/>
      <c r="P63" s="23"/>
      <c r="Q63" s="27"/>
      <c r="R63" s="27"/>
      <c r="S63" s="27"/>
    </row>
    <row r="64" spans="1:19" x14ac:dyDescent="0.25">
      <c r="A64" s="876"/>
      <c r="B64" s="4"/>
      <c r="C64" s="23"/>
      <c r="D64" s="23"/>
      <c r="E64" s="23"/>
      <c r="F64" s="23"/>
      <c r="G64" s="23"/>
      <c r="H64" s="23"/>
      <c r="I64" s="23"/>
      <c r="J64" s="23"/>
      <c r="K64" s="23"/>
      <c r="L64" s="23"/>
      <c r="M64" s="23"/>
      <c r="N64" s="27"/>
      <c r="O64" s="23"/>
      <c r="P64" s="23"/>
      <c r="Q64" s="27"/>
      <c r="R64" s="27"/>
      <c r="S64" s="27"/>
    </row>
    <row r="65" spans="1:19" x14ac:dyDescent="0.25">
      <c r="A65" s="876"/>
      <c r="B65" s="4"/>
      <c r="C65" s="23"/>
      <c r="D65" s="23"/>
      <c r="E65" s="23"/>
      <c r="F65" s="23"/>
      <c r="G65" s="23"/>
      <c r="H65" s="23"/>
      <c r="I65" s="23"/>
      <c r="J65" s="23"/>
      <c r="K65" s="23"/>
      <c r="L65" s="23"/>
      <c r="M65" s="23"/>
      <c r="N65" s="27"/>
      <c r="O65" s="23"/>
      <c r="P65" s="23"/>
      <c r="Q65" s="27"/>
      <c r="R65" s="27"/>
      <c r="S65" s="27"/>
    </row>
    <row r="66" spans="1:19" x14ac:dyDescent="0.25">
      <c r="A66" s="876"/>
      <c r="B66" s="4"/>
      <c r="C66" s="23"/>
      <c r="D66" s="23"/>
      <c r="E66" s="23"/>
      <c r="F66" s="23"/>
      <c r="G66" s="23"/>
      <c r="H66" s="23"/>
      <c r="I66" s="23"/>
      <c r="J66" s="23"/>
      <c r="K66" s="23"/>
      <c r="L66" s="23"/>
      <c r="M66" s="23"/>
      <c r="N66" s="27"/>
      <c r="O66" s="23"/>
      <c r="P66" s="23"/>
      <c r="Q66" s="27"/>
      <c r="R66" s="27"/>
      <c r="S66" s="27"/>
    </row>
    <row r="67" spans="1:19" x14ac:dyDescent="0.25">
      <c r="A67" s="876"/>
      <c r="B67" s="4"/>
      <c r="C67" s="23"/>
      <c r="D67" s="23"/>
      <c r="E67" s="23"/>
      <c r="F67" s="23"/>
      <c r="G67" s="23"/>
      <c r="H67" s="23"/>
      <c r="I67" s="23"/>
      <c r="J67" s="23"/>
      <c r="K67" s="23"/>
      <c r="L67" s="23"/>
      <c r="M67" s="23"/>
      <c r="N67" s="4"/>
      <c r="O67" s="23"/>
      <c r="P67" s="23"/>
      <c r="Q67" s="4"/>
      <c r="R67" s="4"/>
      <c r="S67" s="4"/>
    </row>
    <row r="68" spans="1:19" x14ac:dyDescent="0.25">
      <c r="A68" s="876"/>
      <c r="B68" s="4"/>
      <c r="C68" s="23"/>
      <c r="D68" s="23"/>
      <c r="E68" s="23"/>
      <c r="F68" s="23"/>
      <c r="G68" s="23"/>
      <c r="H68" s="23"/>
      <c r="I68" s="23"/>
      <c r="J68" s="23"/>
      <c r="K68" s="23"/>
      <c r="L68" s="23"/>
      <c r="M68" s="23"/>
      <c r="N68" s="4"/>
      <c r="O68" s="23"/>
      <c r="P68" s="23"/>
      <c r="Q68" s="4"/>
      <c r="R68" s="4"/>
      <c r="S68" s="4"/>
    </row>
    <row r="69" spans="1:19" x14ac:dyDescent="0.25">
      <c r="A69" s="876"/>
      <c r="B69" s="4"/>
      <c r="C69" s="23"/>
      <c r="D69" s="23"/>
      <c r="E69" s="23"/>
      <c r="F69" s="23"/>
      <c r="G69" s="23"/>
      <c r="H69" s="23"/>
      <c r="I69" s="23"/>
      <c r="J69" s="23"/>
      <c r="K69" s="23"/>
      <c r="L69" s="23"/>
      <c r="M69" s="23"/>
      <c r="N69" s="4"/>
      <c r="O69" s="23"/>
      <c r="P69" s="23"/>
      <c r="Q69" s="4"/>
      <c r="R69" s="4"/>
      <c r="S69" s="4"/>
    </row>
    <row r="70" spans="1:19" x14ac:dyDescent="0.25">
      <c r="A70" s="876"/>
      <c r="B70" s="4"/>
      <c r="C70" s="23"/>
      <c r="D70" s="23"/>
      <c r="E70" s="23"/>
      <c r="F70" s="23"/>
      <c r="G70" s="23"/>
      <c r="H70" s="23"/>
      <c r="I70" s="23"/>
      <c r="J70" s="23"/>
      <c r="K70" s="23"/>
      <c r="L70" s="23"/>
      <c r="M70" s="23"/>
      <c r="N70" s="4"/>
      <c r="O70" s="23"/>
      <c r="P70" s="23"/>
      <c r="Q70" s="4"/>
      <c r="R70" s="4"/>
      <c r="S70" s="4"/>
    </row>
    <row r="71" spans="1:19" x14ac:dyDescent="0.25">
      <c r="A71" s="876"/>
      <c r="B71" s="4"/>
      <c r="C71" s="23"/>
      <c r="D71" s="23"/>
      <c r="E71" s="23"/>
      <c r="F71" s="23"/>
      <c r="G71" s="23"/>
      <c r="H71" s="23"/>
      <c r="I71" s="23"/>
      <c r="J71" s="23"/>
      <c r="K71" s="23"/>
      <c r="L71" s="23"/>
      <c r="M71" s="23"/>
      <c r="N71" s="4"/>
      <c r="O71" s="23"/>
      <c r="P71" s="23"/>
      <c r="Q71" s="4"/>
      <c r="R71" s="4"/>
      <c r="S71" s="4"/>
    </row>
    <row r="72" spans="1:19" x14ac:dyDescent="0.25">
      <c r="A72" s="876"/>
      <c r="B72" s="4"/>
      <c r="C72" s="23"/>
      <c r="D72" s="23"/>
      <c r="E72" s="23"/>
      <c r="F72" s="23"/>
      <c r="G72" s="23"/>
      <c r="H72" s="23"/>
      <c r="I72" s="23"/>
      <c r="J72" s="23"/>
      <c r="K72" s="23"/>
      <c r="L72" s="23"/>
      <c r="M72" s="23"/>
      <c r="N72" s="4"/>
      <c r="O72" s="23"/>
      <c r="P72" s="23"/>
      <c r="Q72" s="4"/>
      <c r="R72" s="4"/>
      <c r="S72" s="4"/>
    </row>
    <row r="73" spans="1:19" x14ac:dyDescent="0.25">
      <c r="A73" s="876"/>
      <c r="B73" s="4"/>
      <c r="C73" s="23"/>
      <c r="D73" s="23"/>
      <c r="E73" s="23"/>
      <c r="F73" s="23"/>
      <c r="G73" s="23"/>
      <c r="H73" s="23"/>
      <c r="I73" s="23"/>
      <c r="J73" s="23"/>
      <c r="K73" s="23"/>
      <c r="L73" s="23"/>
      <c r="M73" s="23"/>
      <c r="N73" s="4"/>
      <c r="O73" s="23"/>
      <c r="P73" s="23"/>
      <c r="Q73" s="4"/>
      <c r="R73" s="4"/>
      <c r="S73" s="4"/>
    </row>
    <row r="74" spans="1:19" x14ac:dyDescent="0.25">
      <c r="A74" s="876"/>
      <c r="B74" s="4"/>
      <c r="C74" s="23"/>
      <c r="D74" s="23"/>
      <c r="E74" s="23"/>
      <c r="F74" s="23"/>
      <c r="G74" s="23"/>
      <c r="H74" s="23"/>
      <c r="I74" s="23"/>
      <c r="J74" s="23"/>
      <c r="K74" s="23"/>
      <c r="L74" s="23"/>
      <c r="M74" s="23"/>
      <c r="N74" s="4"/>
      <c r="O74" s="23"/>
      <c r="P74" s="23"/>
      <c r="Q74" s="4"/>
      <c r="R74" s="4"/>
      <c r="S74" s="4"/>
    </row>
    <row r="75" spans="1:19" x14ac:dyDescent="0.25">
      <c r="A75" s="876"/>
      <c r="B75" s="4"/>
      <c r="C75" s="23"/>
      <c r="D75" s="23"/>
      <c r="E75" s="23"/>
      <c r="F75" s="23"/>
      <c r="G75" s="23"/>
      <c r="H75" s="23"/>
      <c r="I75" s="23"/>
      <c r="J75" s="23"/>
      <c r="K75" s="23"/>
      <c r="L75" s="23"/>
      <c r="M75" s="23"/>
      <c r="N75" s="4"/>
      <c r="O75" s="23"/>
      <c r="P75" s="23"/>
      <c r="Q75" s="4"/>
      <c r="R75" s="4"/>
      <c r="S75" s="4"/>
    </row>
    <row r="76" spans="1:19" x14ac:dyDescent="0.25">
      <c r="A76" s="876"/>
      <c r="B76" s="4"/>
      <c r="C76" s="23"/>
      <c r="D76" s="23"/>
      <c r="E76" s="23"/>
      <c r="F76" s="23"/>
      <c r="G76" s="23"/>
      <c r="H76" s="23"/>
      <c r="I76" s="23"/>
      <c r="J76" s="23"/>
      <c r="K76" s="23"/>
      <c r="L76" s="23"/>
      <c r="M76" s="23"/>
      <c r="N76" s="4"/>
      <c r="O76" s="23"/>
      <c r="P76" s="23"/>
      <c r="Q76" s="4"/>
      <c r="R76" s="4"/>
      <c r="S76" s="4"/>
    </row>
    <row r="77" spans="1:19" x14ac:dyDescent="0.25">
      <c r="A77" s="876"/>
      <c r="B77" s="4"/>
      <c r="C77" s="23"/>
      <c r="D77" s="23"/>
      <c r="E77" s="23"/>
      <c r="F77" s="23"/>
      <c r="G77" s="23"/>
      <c r="H77" s="23"/>
      <c r="I77" s="23"/>
      <c r="J77" s="23"/>
      <c r="K77" s="23"/>
      <c r="L77" s="23"/>
      <c r="M77" s="23"/>
      <c r="N77" s="4"/>
      <c r="O77" s="23"/>
      <c r="P77" s="23"/>
      <c r="Q77" s="4"/>
      <c r="R77" s="4"/>
      <c r="S77" s="4"/>
    </row>
    <row r="78" spans="1:19" x14ac:dyDescent="0.25">
      <c r="A78" s="876"/>
      <c r="B78" s="4"/>
      <c r="C78" s="23"/>
      <c r="D78" s="23"/>
      <c r="E78" s="23"/>
      <c r="F78" s="23"/>
      <c r="G78" s="23"/>
      <c r="H78" s="23"/>
      <c r="I78" s="23"/>
      <c r="J78" s="23"/>
      <c r="K78" s="23"/>
      <c r="L78" s="23"/>
      <c r="M78" s="23"/>
      <c r="N78" s="4"/>
      <c r="O78" s="23"/>
      <c r="P78" s="23"/>
      <c r="Q78" s="4"/>
      <c r="R78" s="4"/>
      <c r="S78" s="4"/>
    </row>
    <row r="79" spans="1:19" x14ac:dyDescent="0.25">
      <c r="A79" s="876"/>
      <c r="B79" s="4"/>
      <c r="C79" s="23"/>
      <c r="D79" s="23"/>
      <c r="E79" s="23"/>
      <c r="F79" s="23"/>
      <c r="G79" s="23"/>
      <c r="H79" s="23"/>
      <c r="I79" s="23"/>
      <c r="J79" s="23"/>
      <c r="K79" s="23"/>
      <c r="L79" s="23"/>
      <c r="M79" s="23"/>
      <c r="N79" s="4"/>
      <c r="O79" s="23"/>
      <c r="P79" s="23"/>
      <c r="Q79" s="4"/>
      <c r="R79" s="4"/>
      <c r="S79" s="4"/>
    </row>
    <row r="80" spans="1:19" x14ac:dyDescent="0.25">
      <c r="A80" s="876"/>
      <c r="B80" s="4"/>
      <c r="C80" s="23"/>
      <c r="D80" s="23"/>
      <c r="E80" s="23"/>
      <c r="F80" s="23"/>
      <c r="G80" s="23"/>
      <c r="H80" s="23"/>
      <c r="I80" s="23"/>
      <c r="J80" s="23"/>
      <c r="K80" s="23"/>
      <c r="L80" s="23"/>
      <c r="M80" s="23"/>
      <c r="N80" s="4"/>
      <c r="O80" s="23"/>
      <c r="P80" s="23"/>
      <c r="Q80" s="4"/>
      <c r="R80" s="4"/>
      <c r="S80" s="4"/>
    </row>
    <row r="81" spans="1:19" x14ac:dyDescent="0.25">
      <c r="A81" s="876"/>
      <c r="B81" s="4"/>
      <c r="C81" s="23"/>
      <c r="D81" s="23"/>
      <c r="E81" s="23"/>
      <c r="F81" s="23"/>
      <c r="G81" s="23"/>
      <c r="H81" s="23"/>
      <c r="I81" s="23"/>
      <c r="J81" s="23"/>
      <c r="K81" s="23"/>
      <c r="L81" s="23"/>
      <c r="M81" s="23"/>
      <c r="N81" s="4"/>
      <c r="O81" s="23"/>
      <c r="P81" s="23"/>
      <c r="Q81" s="4"/>
      <c r="R81" s="4"/>
      <c r="S81" s="4"/>
    </row>
    <row r="82" spans="1:19" x14ac:dyDescent="0.25">
      <c r="A82" s="876"/>
      <c r="B82" s="4"/>
      <c r="C82" s="23"/>
      <c r="D82" s="23"/>
      <c r="E82" s="23"/>
      <c r="F82" s="23"/>
      <c r="G82" s="23"/>
      <c r="H82" s="23"/>
      <c r="I82" s="23"/>
      <c r="J82" s="23"/>
      <c r="K82" s="23"/>
      <c r="L82" s="23"/>
      <c r="M82" s="23"/>
      <c r="N82" s="4"/>
      <c r="O82" s="23"/>
      <c r="P82" s="23"/>
      <c r="Q82" s="4"/>
      <c r="R82" s="4"/>
      <c r="S82" s="4"/>
    </row>
    <row r="83" spans="1:19" x14ac:dyDescent="0.25">
      <c r="A83" s="876"/>
      <c r="B83" s="4"/>
      <c r="C83" s="23"/>
      <c r="D83" s="23"/>
      <c r="E83" s="23"/>
      <c r="F83" s="23"/>
      <c r="G83" s="23"/>
      <c r="H83" s="23"/>
      <c r="I83" s="23"/>
      <c r="J83" s="23"/>
      <c r="K83" s="23"/>
      <c r="L83" s="23"/>
      <c r="M83" s="23"/>
      <c r="N83" s="4"/>
      <c r="O83" s="23"/>
      <c r="P83" s="23"/>
      <c r="Q83" s="4"/>
      <c r="R83" s="4"/>
      <c r="S83" s="4"/>
    </row>
    <row r="84" spans="1:19" x14ac:dyDescent="0.25">
      <c r="A84" s="876"/>
      <c r="B84" s="4"/>
      <c r="C84" s="23"/>
      <c r="D84" s="23"/>
      <c r="E84" s="23"/>
      <c r="F84" s="23"/>
      <c r="G84" s="23"/>
      <c r="H84" s="23"/>
      <c r="I84" s="23"/>
      <c r="J84" s="23"/>
      <c r="K84" s="23"/>
      <c r="L84" s="23"/>
      <c r="M84" s="23"/>
      <c r="N84" s="4"/>
      <c r="O84" s="23"/>
      <c r="P84" s="23"/>
      <c r="Q84" s="4"/>
      <c r="R84" s="4"/>
      <c r="S84" s="4"/>
    </row>
    <row r="85" spans="1:19" x14ac:dyDescent="0.25">
      <c r="A85" s="876"/>
      <c r="B85" s="4"/>
      <c r="C85" s="23"/>
      <c r="D85" s="23"/>
      <c r="E85" s="23"/>
      <c r="F85" s="23"/>
      <c r="G85" s="23"/>
      <c r="H85" s="23"/>
      <c r="I85" s="23"/>
      <c r="J85" s="23"/>
      <c r="K85" s="23"/>
      <c r="L85" s="23"/>
      <c r="M85" s="23"/>
      <c r="N85" s="4"/>
      <c r="O85" s="23"/>
      <c r="P85" s="23"/>
      <c r="Q85" s="4"/>
      <c r="R85" s="4"/>
      <c r="S85" s="4"/>
    </row>
    <row r="86" spans="1:19" x14ac:dyDescent="0.25">
      <c r="A86" s="876"/>
      <c r="B86" s="4"/>
      <c r="C86" s="23"/>
      <c r="D86" s="23"/>
      <c r="E86" s="23"/>
      <c r="F86" s="23"/>
      <c r="G86" s="23"/>
      <c r="H86" s="23"/>
      <c r="I86" s="23"/>
      <c r="J86" s="23"/>
      <c r="K86" s="23"/>
      <c r="L86" s="23"/>
      <c r="M86" s="23"/>
      <c r="N86" s="4"/>
      <c r="O86" s="23"/>
      <c r="P86" s="23"/>
      <c r="Q86" s="4"/>
      <c r="R86" s="4"/>
      <c r="S86" s="4"/>
    </row>
    <row r="87" spans="1:19" x14ac:dyDescent="0.25">
      <c r="A87" s="876"/>
      <c r="B87" s="4"/>
      <c r="C87" s="23"/>
      <c r="D87" s="23"/>
      <c r="E87" s="23"/>
      <c r="F87" s="23"/>
      <c r="G87" s="23"/>
      <c r="H87" s="23"/>
      <c r="I87" s="23"/>
      <c r="J87" s="23"/>
      <c r="K87" s="23"/>
      <c r="L87" s="23"/>
      <c r="M87" s="23"/>
      <c r="N87" s="4"/>
      <c r="O87" s="23"/>
      <c r="P87" s="23"/>
      <c r="Q87" s="4"/>
      <c r="R87" s="4"/>
      <c r="S87" s="4"/>
    </row>
    <row r="88" spans="1:19" x14ac:dyDescent="0.25">
      <c r="A88" s="876"/>
      <c r="B88" s="4"/>
      <c r="C88" s="23"/>
      <c r="D88" s="23"/>
      <c r="E88" s="23"/>
      <c r="F88" s="23"/>
      <c r="G88" s="23"/>
      <c r="H88" s="23"/>
      <c r="I88" s="23"/>
      <c r="J88" s="23"/>
      <c r="K88" s="23"/>
      <c r="L88" s="23"/>
      <c r="M88" s="23"/>
      <c r="N88" s="4"/>
      <c r="O88" s="23"/>
      <c r="P88" s="23"/>
      <c r="Q88" s="4"/>
      <c r="R88" s="4"/>
      <c r="S88" s="4"/>
    </row>
    <row r="89" spans="1:19" x14ac:dyDescent="0.25">
      <c r="A89" s="876"/>
      <c r="B89" s="4"/>
      <c r="C89" s="23"/>
      <c r="D89" s="23"/>
      <c r="E89" s="23"/>
      <c r="F89" s="23"/>
      <c r="G89" s="23"/>
      <c r="H89" s="23"/>
      <c r="I89" s="23"/>
      <c r="J89" s="23"/>
      <c r="K89" s="23"/>
      <c r="L89" s="23"/>
      <c r="M89" s="23"/>
      <c r="N89" s="4"/>
      <c r="O89" s="23"/>
      <c r="P89" s="23"/>
      <c r="Q89" s="4"/>
      <c r="R89" s="4"/>
      <c r="S89" s="4"/>
    </row>
    <row r="90" spans="1:19" x14ac:dyDescent="0.25">
      <c r="A90" s="876"/>
      <c r="B90" s="4"/>
      <c r="C90" s="23"/>
      <c r="D90" s="23"/>
      <c r="E90" s="23"/>
      <c r="F90" s="23"/>
      <c r="G90" s="23"/>
      <c r="H90" s="23"/>
      <c r="I90" s="23"/>
      <c r="J90" s="23"/>
      <c r="K90" s="23"/>
      <c r="L90" s="23"/>
      <c r="M90" s="23"/>
      <c r="N90" s="4"/>
      <c r="O90" s="23"/>
      <c r="P90" s="23"/>
      <c r="Q90" s="4"/>
      <c r="R90" s="4"/>
      <c r="S90" s="4"/>
    </row>
    <row r="91" spans="1:19" x14ac:dyDescent="0.25">
      <c r="A91" s="876"/>
      <c r="B91" s="4"/>
      <c r="C91" s="23"/>
      <c r="D91" s="23"/>
      <c r="E91" s="23"/>
      <c r="F91" s="23"/>
      <c r="G91" s="23"/>
      <c r="H91" s="23"/>
      <c r="I91" s="23"/>
      <c r="J91" s="23"/>
      <c r="K91" s="23"/>
      <c r="L91" s="23"/>
      <c r="M91" s="23"/>
      <c r="N91" s="4"/>
      <c r="O91" s="23"/>
      <c r="P91" s="23"/>
      <c r="Q91" s="4"/>
      <c r="R91" s="4"/>
      <c r="S91" s="4"/>
    </row>
    <row r="92" spans="1:19" x14ac:dyDescent="0.25">
      <c r="A92" s="876"/>
      <c r="B92" s="4"/>
      <c r="C92" s="23"/>
      <c r="D92" s="23"/>
      <c r="E92" s="23"/>
      <c r="F92" s="23"/>
      <c r="G92" s="23"/>
      <c r="H92" s="23"/>
      <c r="I92" s="23"/>
      <c r="J92" s="23"/>
      <c r="K92" s="23"/>
      <c r="L92" s="23"/>
      <c r="M92" s="23"/>
      <c r="N92" s="4"/>
      <c r="O92" s="23"/>
      <c r="P92" s="23"/>
      <c r="Q92" s="4"/>
      <c r="R92" s="4"/>
      <c r="S92" s="4"/>
    </row>
    <row r="93" spans="1:19" x14ac:dyDescent="0.25">
      <c r="A93" s="876"/>
      <c r="B93" s="4"/>
      <c r="C93" s="23"/>
      <c r="D93" s="23"/>
      <c r="E93" s="23"/>
      <c r="F93" s="23"/>
      <c r="G93" s="23"/>
      <c r="H93" s="23"/>
      <c r="I93" s="23"/>
      <c r="J93" s="23"/>
      <c r="K93" s="23"/>
      <c r="L93" s="23"/>
      <c r="M93" s="23"/>
      <c r="N93" s="4"/>
      <c r="O93" s="23"/>
      <c r="P93" s="23"/>
      <c r="Q93" s="4"/>
      <c r="R93" s="4"/>
      <c r="S93" s="4"/>
    </row>
    <row r="94" spans="1:19" x14ac:dyDescent="0.25">
      <c r="A94" s="876"/>
      <c r="B94" s="4"/>
      <c r="C94" s="23"/>
      <c r="D94" s="23"/>
      <c r="E94" s="23"/>
      <c r="F94" s="23"/>
      <c r="G94" s="23"/>
      <c r="H94" s="23"/>
      <c r="I94" s="23"/>
      <c r="J94" s="23"/>
      <c r="K94" s="23"/>
      <c r="L94" s="23"/>
      <c r="M94" s="23"/>
      <c r="N94" s="4"/>
      <c r="O94" s="23"/>
      <c r="P94" s="23"/>
      <c r="Q94" s="4"/>
      <c r="R94" s="4"/>
      <c r="S94" s="4"/>
    </row>
    <row r="95" spans="1:19" x14ac:dyDescent="0.25">
      <c r="A95" s="876"/>
      <c r="B95" s="4"/>
      <c r="C95" s="23"/>
      <c r="D95" s="23"/>
      <c r="E95" s="23"/>
      <c r="F95" s="23"/>
      <c r="G95" s="23"/>
      <c r="H95" s="23"/>
      <c r="I95" s="23"/>
      <c r="J95" s="23"/>
      <c r="K95" s="23"/>
      <c r="L95" s="23"/>
      <c r="M95" s="23"/>
      <c r="N95" s="4"/>
      <c r="O95" s="23"/>
      <c r="P95" s="23"/>
      <c r="Q95" s="4"/>
      <c r="R95" s="4"/>
      <c r="S95" s="4"/>
    </row>
    <row r="96" spans="1:19" x14ac:dyDescent="0.25">
      <c r="A96" s="876"/>
      <c r="B96" s="4"/>
      <c r="C96" s="23"/>
      <c r="D96" s="23"/>
      <c r="E96" s="23"/>
      <c r="F96" s="23"/>
      <c r="G96" s="23"/>
      <c r="H96" s="23"/>
      <c r="I96" s="23"/>
      <c r="J96" s="23"/>
      <c r="K96" s="23"/>
      <c r="L96" s="23"/>
      <c r="M96" s="23"/>
      <c r="N96" s="4"/>
      <c r="O96" s="23"/>
      <c r="P96" s="23"/>
      <c r="Q96" s="4"/>
      <c r="R96" s="4"/>
      <c r="S96" s="4"/>
    </row>
    <row r="97" spans="1:19" x14ac:dyDescent="0.25">
      <c r="A97" s="876"/>
      <c r="B97" s="4"/>
      <c r="C97" s="23"/>
      <c r="D97" s="23"/>
      <c r="E97" s="23"/>
      <c r="F97" s="23"/>
      <c r="G97" s="23"/>
      <c r="H97" s="23"/>
      <c r="I97" s="23"/>
      <c r="J97" s="23"/>
      <c r="K97" s="23"/>
      <c r="L97" s="23"/>
      <c r="M97" s="23"/>
      <c r="N97" s="4"/>
      <c r="O97" s="23"/>
      <c r="P97" s="23"/>
      <c r="Q97" s="4"/>
      <c r="R97" s="4"/>
      <c r="S97" s="4"/>
    </row>
    <row r="98" spans="1:19" x14ac:dyDescent="0.25">
      <c r="A98" s="876"/>
      <c r="B98" s="4"/>
      <c r="C98" s="23"/>
      <c r="D98" s="23"/>
      <c r="E98" s="23"/>
      <c r="F98" s="23"/>
      <c r="G98" s="23"/>
      <c r="H98" s="23"/>
      <c r="I98" s="23"/>
      <c r="J98" s="23"/>
      <c r="K98" s="23"/>
      <c r="L98" s="23"/>
      <c r="M98" s="23"/>
      <c r="N98" s="4"/>
      <c r="O98" s="23"/>
      <c r="P98" s="23"/>
      <c r="Q98" s="4"/>
      <c r="R98" s="4"/>
      <c r="S98" s="4"/>
    </row>
    <row r="99" spans="1:19" x14ac:dyDescent="0.25">
      <c r="A99" s="876"/>
      <c r="B99" s="4"/>
      <c r="C99" s="23"/>
      <c r="D99" s="23"/>
      <c r="E99" s="23"/>
      <c r="F99" s="23"/>
      <c r="G99" s="23"/>
      <c r="H99" s="23"/>
      <c r="I99" s="23"/>
      <c r="J99" s="23"/>
      <c r="K99" s="23"/>
      <c r="L99" s="23"/>
      <c r="M99" s="23"/>
      <c r="N99" s="4"/>
      <c r="O99" s="23"/>
      <c r="P99" s="23"/>
      <c r="Q99" s="4"/>
      <c r="R99" s="4"/>
      <c r="S99" s="4"/>
    </row>
    <row r="100" spans="1:19" x14ac:dyDescent="0.25">
      <c r="A100" s="876"/>
      <c r="B100" s="4"/>
      <c r="C100" s="23"/>
      <c r="D100" s="23"/>
      <c r="E100" s="23"/>
      <c r="F100" s="23"/>
      <c r="G100" s="23"/>
      <c r="H100" s="23"/>
      <c r="I100" s="23"/>
      <c r="J100" s="23"/>
      <c r="K100" s="23"/>
      <c r="L100" s="23"/>
      <c r="M100" s="23"/>
      <c r="N100" s="4"/>
      <c r="O100" s="23"/>
      <c r="P100" s="23"/>
      <c r="Q100" s="4"/>
      <c r="R100" s="4"/>
      <c r="S100" s="4"/>
    </row>
    <row r="101" spans="1:19" x14ac:dyDescent="0.25">
      <c r="A101" s="876"/>
      <c r="B101" s="4"/>
      <c r="C101" s="23"/>
      <c r="D101" s="23"/>
      <c r="E101" s="23"/>
      <c r="F101" s="23"/>
      <c r="G101" s="23"/>
      <c r="H101" s="23"/>
      <c r="I101" s="23"/>
      <c r="J101" s="23"/>
      <c r="K101" s="23"/>
      <c r="L101" s="23"/>
      <c r="M101" s="23"/>
      <c r="N101" s="4"/>
      <c r="O101" s="23"/>
      <c r="P101" s="23"/>
      <c r="Q101" s="4"/>
      <c r="R101" s="4"/>
      <c r="S101" s="4"/>
    </row>
    <row r="102" spans="1:19" x14ac:dyDescent="0.25">
      <c r="A102" s="876"/>
      <c r="B102" s="4"/>
      <c r="C102" s="23"/>
      <c r="D102" s="23"/>
      <c r="E102" s="23"/>
      <c r="F102" s="23"/>
      <c r="G102" s="23"/>
      <c r="H102" s="23"/>
      <c r="I102" s="23"/>
      <c r="J102" s="23"/>
      <c r="K102" s="23"/>
      <c r="L102" s="23"/>
      <c r="M102" s="23"/>
      <c r="N102" s="4"/>
      <c r="O102" s="23"/>
      <c r="P102" s="23"/>
      <c r="Q102" s="4"/>
      <c r="R102" s="4"/>
      <c r="S102" s="4"/>
    </row>
    <row r="103" spans="1:19" x14ac:dyDescent="0.25">
      <c r="A103" s="876"/>
      <c r="B103" s="4"/>
      <c r="C103" s="23"/>
      <c r="D103" s="23"/>
      <c r="E103" s="23"/>
      <c r="F103" s="23"/>
      <c r="G103" s="23"/>
      <c r="H103" s="23"/>
      <c r="I103" s="23"/>
      <c r="J103" s="23"/>
      <c r="K103" s="23"/>
      <c r="L103" s="23"/>
      <c r="M103" s="23"/>
      <c r="N103" s="4"/>
      <c r="O103" s="23"/>
      <c r="P103" s="23"/>
      <c r="Q103" s="4"/>
      <c r="R103" s="4"/>
      <c r="S103" s="4"/>
    </row>
    <row r="104" spans="1:19" x14ac:dyDescent="0.25">
      <c r="A104" s="876"/>
      <c r="B104" s="4"/>
      <c r="C104" s="23"/>
      <c r="D104" s="23"/>
      <c r="E104" s="23"/>
      <c r="F104" s="23"/>
      <c r="G104" s="23"/>
      <c r="H104" s="23"/>
      <c r="I104" s="23"/>
      <c r="J104" s="23"/>
      <c r="K104" s="23"/>
      <c r="L104" s="23"/>
      <c r="M104" s="23"/>
      <c r="N104" s="4"/>
      <c r="O104" s="23"/>
      <c r="P104" s="23"/>
      <c r="Q104" s="4"/>
      <c r="R104" s="4"/>
      <c r="S104" s="4"/>
    </row>
    <row r="105" spans="1:19" x14ac:dyDescent="0.25">
      <c r="A105" s="876"/>
      <c r="B105" s="4"/>
      <c r="C105" s="23"/>
      <c r="D105" s="23"/>
      <c r="E105" s="23"/>
      <c r="F105" s="23"/>
      <c r="G105" s="23"/>
      <c r="H105" s="23"/>
      <c r="I105" s="23"/>
      <c r="J105" s="23"/>
      <c r="K105" s="23"/>
      <c r="L105" s="23"/>
      <c r="M105" s="23"/>
      <c r="N105" s="4"/>
      <c r="O105" s="23"/>
      <c r="P105" s="23"/>
      <c r="Q105" s="4"/>
      <c r="R105" s="4"/>
      <c r="S105" s="4"/>
    </row>
    <row r="106" spans="1:19" x14ac:dyDescent="0.25">
      <c r="A106" s="876"/>
      <c r="B106" s="4"/>
      <c r="C106" s="23"/>
      <c r="D106" s="23"/>
      <c r="E106" s="23"/>
      <c r="F106" s="23"/>
      <c r="G106" s="23"/>
      <c r="H106" s="23"/>
      <c r="I106" s="23"/>
      <c r="J106" s="23"/>
      <c r="K106" s="23"/>
      <c r="L106" s="23"/>
      <c r="M106" s="23"/>
      <c r="N106" s="4"/>
      <c r="O106" s="23"/>
      <c r="P106" s="23"/>
      <c r="Q106" s="4"/>
      <c r="R106" s="4"/>
      <c r="S106" s="4"/>
    </row>
    <row r="107" spans="1:19" x14ac:dyDescent="0.25">
      <c r="A107" s="876"/>
      <c r="B107" s="4"/>
      <c r="C107" s="23"/>
      <c r="D107" s="23"/>
      <c r="E107" s="23"/>
      <c r="F107" s="23"/>
      <c r="G107" s="23"/>
      <c r="H107" s="23"/>
      <c r="I107" s="23"/>
      <c r="J107" s="23"/>
      <c r="K107" s="23"/>
      <c r="L107" s="23"/>
      <c r="M107" s="23"/>
      <c r="N107" s="4"/>
      <c r="O107" s="23"/>
      <c r="P107" s="23"/>
      <c r="Q107" s="4"/>
      <c r="R107" s="4"/>
      <c r="S107" s="4"/>
    </row>
    <row r="108" spans="1:19" x14ac:dyDescent="0.25">
      <c r="A108" s="876"/>
      <c r="B108" s="4"/>
      <c r="C108" s="23"/>
      <c r="D108" s="23"/>
      <c r="E108" s="23"/>
      <c r="F108" s="23"/>
      <c r="G108" s="23"/>
      <c r="H108" s="23"/>
      <c r="I108" s="23"/>
      <c r="J108" s="23"/>
      <c r="K108" s="23"/>
      <c r="L108" s="23"/>
      <c r="M108" s="23"/>
      <c r="N108" s="4"/>
      <c r="O108" s="23"/>
      <c r="P108" s="23"/>
      <c r="Q108" s="4"/>
      <c r="R108" s="4"/>
      <c r="S108" s="4"/>
    </row>
    <row r="109" spans="1:19" x14ac:dyDescent="0.25">
      <c r="A109" s="876"/>
      <c r="B109" s="4"/>
      <c r="C109" s="23"/>
      <c r="D109" s="23"/>
      <c r="E109" s="23"/>
      <c r="F109" s="23"/>
      <c r="G109" s="23"/>
      <c r="H109" s="23"/>
      <c r="I109" s="23"/>
      <c r="J109" s="23"/>
      <c r="K109" s="23"/>
      <c r="L109" s="23"/>
      <c r="M109" s="23"/>
      <c r="N109" s="4"/>
      <c r="O109" s="23"/>
      <c r="P109" s="23"/>
      <c r="Q109" s="4"/>
      <c r="R109" s="4"/>
      <c r="S109" s="4"/>
    </row>
    <row r="110" spans="1:19" x14ac:dyDescent="0.25">
      <c r="A110" s="876"/>
      <c r="B110" s="4"/>
      <c r="C110" s="23"/>
      <c r="D110" s="23"/>
      <c r="E110" s="23"/>
      <c r="F110" s="23"/>
      <c r="G110" s="23"/>
      <c r="H110" s="23"/>
      <c r="I110" s="23"/>
      <c r="J110" s="23"/>
      <c r="K110" s="23"/>
      <c r="L110" s="23"/>
      <c r="M110" s="23"/>
      <c r="N110" s="4"/>
      <c r="O110" s="23"/>
      <c r="P110" s="23"/>
      <c r="Q110" s="4"/>
      <c r="R110" s="4"/>
      <c r="S110" s="4"/>
    </row>
    <row r="111" spans="1:19" x14ac:dyDescent="0.25">
      <c r="A111" s="876"/>
      <c r="B111" s="4"/>
      <c r="C111" s="23"/>
      <c r="D111" s="23"/>
      <c r="E111" s="23"/>
      <c r="F111" s="23"/>
      <c r="G111" s="23"/>
      <c r="H111" s="23"/>
      <c r="I111" s="23"/>
      <c r="J111" s="23"/>
      <c r="K111" s="23"/>
      <c r="L111" s="23"/>
      <c r="M111" s="23"/>
      <c r="N111" s="4"/>
      <c r="O111" s="23"/>
      <c r="P111" s="23"/>
      <c r="Q111" s="4"/>
      <c r="R111" s="4"/>
      <c r="S111" s="4"/>
    </row>
    <row r="112" spans="1:19" x14ac:dyDescent="0.25">
      <c r="A112" s="876"/>
      <c r="B112" s="4"/>
      <c r="C112" s="23"/>
      <c r="D112" s="23"/>
      <c r="E112" s="23"/>
      <c r="F112" s="23"/>
      <c r="G112" s="23"/>
      <c r="H112" s="23"/>
      <c r="I112" s="23"/>
      <c r="J112" s="23"/>
      <c r="K112" s="23"/>
      <c r="L112" s="23"/>
      <c r="M112" s="23"/>
      <c r="N112" s="4"/>
      <c r="O112" s="23"/>
      <c r="P112" s="23"/>
      <c r="Q112" s="4"/>
      <c r="R112" s="4"/>
      <c r="S112" s="4"/>
    </row>
    <row r="113" spans="1:19" x14ac:dyDescent="0.25">
      <c r="A113" s="876"/>
      <c r="B113" s="4"/>
      <c r="C113" s="23"/>
      <c r="D113" s="23"/>
      <c r="E113" s="23"/>
      <c r="F113" s="23"/>
      <c r="G113" s="23"/>
      <c r="H113" s="23"/>
      <c r="I113" s="23"/>
      <c r="J113" s="23"/>
      <c r="K113" s="23"/>
      <c r="L113" s="23"/>
      <c r="M113" s="23"/>
      <c r="N113" s="4"/>
      <c r="O113" s="23"/>
      <c r="P113" s="23"/>
      <c r="Q113" s="4"/>
      <c r="R113" s="4"/>
      <c r="S113" s="4"/>
    </row>
    <row r="114" spans="1:19" x14ac:dyDescent="0.25">
      <c r="A114" s="876"/>
      <c r="B114" s="4"/>
      <c r="C114" s="23"/>
      <c r="D114" s="23"/>
      <c r="E114" s="23"/>
      <c r="F114" s="23"/>
      <c r="G114" s="23"/>
      <c r="H114" s="23"/>
      <c r="I114" s="23"/>
      <c r="J114" s="23"/>
      <c r="K114" s="23"/>
      <c r="L114" s="23"/>
      <c r="M114" s="23"/>
      <c r="N114" s="4"/>
      <c r="O114" s="23"/>
      <c r="P114" s="23"/>
      <c r="Q114" s="4"/>
      <c r="R114" s="4"/>
      <c r="S114" s="4"/>
    </row>
    <row r="115" spans="1:19" x14ac:dyDescent="0.25">
      <c r="A115" s="876"/>
      <c r="B115" s="4"/>
      <c r="C115" s="23"/>
      <c r="D115" s="23"/>
      <c r="E115" s="23"/>
      <c r="F115" s="23"/>
      <c r="G115" s="23"/>
      <c r="H115" s="23"/>
      <c r="I115" s="23"/>
      <c r="J115" s="23"/>
      <c r="K115" s="23"/>
      <c r="L115" s="23"/>
      <c r="M115" s="23"/>
      <c r="N115" s="4"/>
      <c r="O115" s="23"/>
      <c r="P115" s="23"/>
      <c r="Q115" s="4"/>
      <c r="R115" s="4"/>
      <c r="S115" s="4"/>
    </row>
    <row r="116" spans="1:19" x14ac:dyDescent="0.25">
      <c r="A116" s="876"/>
      <c r="B116" s="4"/>
      <c r="C116" s="23"/>
      <c r="D116" s="23"/>
      <c r="E116" s="23"/>
      <c r="F116" s="23"/>
      <c r="G116" s="23"/>
      <c r="H116" s="23"/>
      <c r="I116" s="23"/>
      <c r="J116" s="23"/>
      <c r="K116" s="23"/>
      <c r="L116" s="23"/>
      <c r="M116" s="23"/>
      <c r="N116" s="4"/>
      <c r="O116" s="23"/>
      <c r="P116" s="23"/>
      <c r="Q116" s="4"/>
      <c r="R116" s="4"/>
      <c r="S116" s="4"/>
    </row>
    <row r="117" spans="1:19" x14ac:dyDescent="0.25">
      <c r="A117" s="876"/>
      <c r="B117" s="4"/>
      <c r="C117" s="23"/>
      <c r="D117" s="23"/>
      <c r="E117" s="23"/>
      <c r="F117" s="23"/>
      <c r="G117" s="23"/>
      <c r="H117" s="23"/>
      <c r="I117" s="23"/>
      <c r="J117" s="23"/>
      <c r="K117" s="23"/>
      <c r="L117" s="23"/>
      <c r="M117" s="23"/>
      <c r="N117" s="4"/>
      <c r="O117" s="23"/>
      <c r="P117" s="23"/>
      <c r="Q117" s="4"/>
      <c r="R117" s="4"/>
      <c r="S117" s="4"/>
    </row>
    <row r="118" spans="1:19" x14ac:dyDescent="0.25">
      <c r="A118" s="876"/>
      <c r="B118" s="4"/>
      <c r="C118" s="23"/>
      <c r="D118" s="23"/>
      <c r="E118" s="23"/>
      <c r="F118" s="23"/>
      <c r="G118" s="23"/>
      <c r="H118" s="23"/>
      <c r="I118" s="23"/>
      <c r="J118" s="23"/>
      <c r="K118" s="23"/>
      <c r="L118" s="23"/>
      <c r="M118" s="23"/>
      <c r="N118" s="4"/>
      <c r="O118" s="23"/>
      <c r="P118" s="23"/>
      <c r="Q118" s="4"/>
      <c r="R118" s="4"/>
      <c r="S118" s="4"/>
    </row>
    <row r="119" spans="1:19" x14ac:dyDescent="0.25">
      <c r="A119" s="876"/>
      <c r="B119" s="4"/>
      <c r="C119" s="23"/>
      <c r="D119" s="23"/>
      <c r="E119" s="23"/>
      <c r="F119" s="23"/>
      <c r="G119" s="23"/>
      <c r="H119" s="23"/>
      <c r="I119" s="23"/>
      <c r="J119" s="23"/>
      <c r="K119" s="23"/>
      <c r="L119" s="23"/>
      <c r="M119" s="23"/>
      <c r="N119" s="4"/>
      <c r="O119" s="23"/>
      <c r="P119" s="23"/>
      <c r="Q119" s="4"/>
      <c r="R119" s="4"/>
      <c r="S119" s="4"/>
    </row>
    <row r="120" spans="1:19" x14ac:dyDescent="0.25">
      <c r="A120" s="876"/>
      <c r="B120" s="4"/>
      <c r="C120" s="23"/>
      <c r="D120" s="23"/>
      <c r="E120" s="23"/>
      <c r="F120" s="23"/>
      <c r="G120" s="23"/>
      <c r="H120" s="23"/>
      <c r="I120" s="23"/>
      <c r="J120" s="23"/>
      <c r="K120" s="23"/>
      <c r="L120" s="23"/>
      <c r="M120" s="23"/>
      <c r="N120" s="4"/>
      <c r="O120" s="23"/>
      <c r="P120" s="23"/>
      <c r="Q120" s="4"/>
      <c r="R120" s="4"/>
      <c r="S120" s="4"/>
    </row>
    <row r="121" spans="1:19" x14ac:dyDescent="0.25">
      <c r="A121" s="876"/>
      <c r="B121" s="4"/>
      <c r="C121" s="23"/>
      <c r="D121" s="23"/>
      <c r="E121" s="23"/>
      <c r="F121" s="23"/>
      <c r="G121" s="23"/>
      <c r="H121" s="23"/>
      <c r="I121" s="23"/>
      <c r="J121" s="23"/>
      <c r="K121" s="23"/>
      <c r="L121" s="23"/>
      <c r="M121" s="23"/>
      <c r="N121" s="4"/>
      <c r="O121" s="23"/>
      <c r="P121" s="23"/>
      <c r="Q121" s="4"/>
      <c r="R121" s="4"/>
      <c r="S121" s="4"/>
    </row>
    <row r="122" spans="1:19" x14ac:dyDescent="0.25">
      <c r="A122" s="876"/>
      <c r="B122" s="4"/>
      <c r="C122" s="23"/>
      <c r="D122" s="23"/>
      <c r="E122" s="23"/>
      <c r="F122" s="23"/>
      <c r="G122" s="23"/>
      <c r="H122" s="23"/>
      <c r="I122" s="23"/>
      <c r="J122" s="23"/>
      <c r="K122" s="23"/>
      <c r="L122" s="23"/>
      <c r="M122" s="23"/>
      <c r="N122" s="4"/>
      <c r="O122" s="23"/>
      <c r="P122" s="23"/>
      <c r="Q122" s="4"/>
      <c r="R122" s="4"/>
      <c r="S122" s="4"/>
    </row>
    <row r="123" spans="1:19" x14ac:dyDescent="0.25">
      <c r="A123" s="876"/>
      <c r="B123" s="4"/>
      <c r="C123" s="23"/>
      <c r="D123" s="23"/>
      <c r="E123" s="23"/>
      <c r="F123" s="23"/>
      <c r="G123" s="23"/>
      <c r="H123" s="23"/>
      <c r="I123" s="23"/>
      <c r="J123" s="23"/>
      <c r="K123" s="23"/>
      <c r="L123" s="23"/>
      <c r="M123" s="23"/>
      <c r="N123" s="4"/>
      <c r="O123" s="23"/>
      <c r="P123" s="23"/>
      <c r="Q123" s="4"/>
      <c r="R123" s="4"/>
      <c r="S123" s="4"/>
    </row>
    <row r="124" spans="1:19" x14ac:dyDescent="0.25">
      <c r="A124" s="876"/>
      <c r="B124" s="4"/>
      <c r="C124" s="23"/>
      <c r="D124" s="23"/>
      <c r="E124" s="23"/>
      <c r="F124" s="23"/>
      <c r="G124" s="23"/>
      <c r="H124" s="23"/>
      <c r="I124" s="23"/>
      <c r="J124" s="23"/>
      <c r="K124" s="23"/>
      <c r="L124" s="23"/>
      <c r="M124" s="23"/>
      <c r="N124" s="4"/>
      <c r="O124" s="23"/>
      <c r="P124" s="23"/>
      <c r="Q124" s="4"/>
      <c r="R124" s="4"/>
      <c r="S124" s="4"/>
    </row>
    <row r="125" spans="1:19" x14ac:dyDescent="0.25">
      <c r="A125" s="876"/>
      <c r="B125" s="4"/>
      <c r="C125" s="23"/>
      <c r="D125" s="23"/>
      <c r="E125" s="23"/>
      <c r="F125" s="23"/>
      <c r="G125" s="23"/>
      <c r="H125" s="23"/>
      <c r="I125" s="23"/>
      <c r="J125" s="23"/>
      <c r="K125" s="23"/>
      <c r="L125" s="23"/>
      <c r="M125" s="23"/>
      <c r="N125" s="4"/>
      <c r="O125" s="23"/>
      <c r="P125" s="23"/>
      <c r="Q125" s="4"/>
      <c r="R125" s="4"/>
      <c r="S125" s="4"/>
    </row>
    <row r="126" spans="1:19" x14ac:dyDescent="0.25">
      <c r="A126" s="876"/>
      <c r="B126" s="4"/>
      <c r="C126" s="23"/>
      <c r="D126" s="23"/>
      <c r="E126" s="23"/>
      <c r="F126" s="23"/>
      <c r="G126" s="23"/>
      <c r="H126" s="23"/>
      <c r="I126" s="23"/>
      <c r="J126" s="23"/>
      <c r="K126" s="23"/>
      <c r="L126" s="23"/>
      <c r="M126" s="23"/>
      <c r="N126" s="4"/>
      <c r="O126" s="23"/>
      <c r="P126" s="23"/>
      <c r="Q126" s="4"/>
      <c r="R126" s="4"/>
      <c r="S126" s="4"/>
    </row>
    <row r="127" spans="1:19" x14ac:dyDescent="0.25">
      <c r="A127" s="876"/>
      <c r="B127" s="4"/>
      <c r="C127" s="23"/>
      <c r="D127" s="23"/>
      <c r="E127" s="23"/>
      <c r="F127" s="23"/>
      <c r="G127" s="23"/>
      <c r="H127" s="23"/>
      <c r="I127" s="23"/>
      <c r="J127" s="23"/>
      <c r="K127" s="23"/>
      <c r="L127" s="23"/>
      <c r="M127" s="23"/>
      <c r="N127" s="4"/>
      <c r="O127" s="23"/>
      <c r="P127" s="23"/>
      <c r="Q127" s="4"/>
      <c r="R127" s="4"/>
      <c r="S127" s="4"/>
    </row>
    <row r="128" spans="1:19" x14ac:dyDescent="0.25">
      <c r="A128" s="876"/>
      <c r="B128" s="4"/>
      <c r="C128" s="23"/>
      <c r="D128" s="23"/>
      <c r="E128" s="23"/>
      <c r="F128" s="23"/>
      <c r="G128" s="23"/>
      <c r="H128" s="23"/>
      <c r="I128" s="23"/>
      <c r="J128" s="23"/>
      <c r="K128" s="23"/>
      <c r="L128" s="23"/>
      <c r="M128" s="23"/>
      <c r="N128" s="4"/>
      <c r="O128" s="23"/>
      <c r="P128" s="23"/>
      <c r="Q128" s="4"/>
      <c r="R128" s="4"/>
      <c r="S128" s="4"/>
    </row>
    <row r="129" spans="1:19" x14ac:dyDescent="0.25">
      <c r="A129" s="876"/>
      <c r="B129" s="4"/>
      <c r="C129" s="23"/>
      <c r="D129" s="23"/>
      <c r="E129" s="23"/>
      <c r="F129" s="23"/>
      <c r="G129" s="23"/>
      <c r="H129" s="23"/>
      <c r="I129" s="23"/>
      <c r="J129" s="23"/>
      <c r="K129" s="23"/>
      <c r="L129" s="23"/>
      <c r="M129" s="23"/>
      <c r="N129" s="4"/>
      <c r="O129" s="23"/>
      <c r="P129" s="23"/>
      <c r="Q129" s="4"/>
      <c r="R129" s="4"/>
      <c r="S129" s="4"/>
    </row>
    <row r="130" spans="1:19" x14ac:dyDescent="0.25">
      <c r="A130" s="876"/>
      <c r="B130" s="4"/>
      <c r="C130" s="23"/>
      <c r="D130" s="23"/>
      <c r="E130" s="23"/>
      <c r="F130" s="23"/>
      <c r="G130" s="23"/>
      <c r="H130" s="23"/>
      <c r="I130" s="23"/>
      <c r="J130" s="23"/>
      <c r="K130" s="23"/>
      <c r="L130" s="23"/>
      <c r="M130" s="23"/>
      <c r="N130" s="4"/>
      <c r="O130" s="23"/>
      <c r="P130" s="23"/>
      <c r="Q130" s="4"/>
      <c r="R130" s="4"/>
      <c r="S130" s="4"/>
    </row>
    <row r="131" spans="1:19" x14ac:dyDescent="0.25">
      <c r="A131" s="876"/>
      <c r="B131" s="4"/>
      <c r="C131" s="23"/>
      <c r="D131" s="23"/>
      <c r="E131" s="23"/>
      <c r="F131" s="23"/>
      <c r="G131" s="23"/>
      <c r="H131" s="23"/>
      <c r="I131" s="23"/>
      <c r="J131" s="23"/>
      <c r="K131" s="23"/>
      <c r="L131" s="23"/>
      <c r="M131" s="23"/>
      <c r="N131" s="4"/>
      <c r="O131" s="23"/>
      <c r="P131" s="23"/>
      <c r="Q131" s="4"/>
      <c r="R131" s="4"/>
      <c r="S131" s="4"/>
    </row>
    <row r="132" spans="1:19" x14ac:dyDescent="0.25">
      <c r="A132" s="876"/>
      <c r="B132" s="4"/>
      <c r="C132" s="23"/>
      <c r="D132" s="23"/>
      <c r="E132" s="23"/>
      <c r="F132" s="23"/>
      <c r="G132" s="23"/>
      <c r="H132" s="23"/>
      <c r="I132" s="23"/>
      <c r="J132" s="23"/>
      <c r="K132" s="23"/>
      <c r="L132" s="23"/>
      <c r="M132" s="23"/>
      <c r="N132" s="4"/>
      <c r="O132" s="23"/>
      <c r="P132" s="23"/>
      <c r="Q132" s="4"/>
      <c r="R132" s="4"/>
      <c r="S132" s="4"/>
    </row>
    <row r="133" spans="1:19" x14ac:dyDescent="0.25">
      <c r="A133" s="876"/>
      <c r="B133" s="4"/>
      <c r="C133" s="23"/>
      <c r="D133" s="23"/>
      <c r="E133" s="23"/>
      <c r="F133" s="23"/>
      <c r="G133" s="23"/>
      <c r="H133" s="23"/>
      <c r="I133" s="23"/>
      <c r="J133" s="23"/>
      <c r="K133" s="23"/>
      <c r="L133" s="23"/>
      <c r="M133" s="23"/>
      <c r="N133" s="4"/>
      <c r="O133" s="23"/>
      <c r="P133" s="23"/>
      <c r="Q133" s="4"/>
      <c r="R133" s="4"/>
      <c r="S133" s="4"/>
    </row>
    <row r="134" spans="1:19" x14ac:dyDescent="0.25">
      <c r="A134" s="876"/>
      <c r="B134" s="4"/>
      <c r="C134" s="23"/>
      <c r="D134" s="23"/>
      <c r="E134" s="23"/>
      <c r="F134" s="23"/>
      <c r="G134" s="23"/>
      <c r="H134" s="23"/>
      <c r="I134" s="23"/>
      <c r="J134" s="23"/>
      <c r="K134" s="23"/>
      <c r="L134" s="23"/>
      <c r="M134" s="23"/>
      <c r="N134" s="4"/>
      <c r="O134" s="23"/>
      <c r="P134" s="23"/>
      <c r="Q134" s="4"/>
      <c r="R134" s="4"/>
      <c r="S134" s="4"/>
    </row>
    <row r="135" spans="1:19" x14ac:dyDescent="0.25">
      <c r="C135" s="114"/>
    </row>
    <row r="136" spans="1:19" x14ac:dyDescent="0.25">
      <c r="C136" s="114"/>
    </row>
    <row r="137" spans="1:19" x14ac:dyDescent="0.25">
      <c r="C137" s="114"/>
    </row>
    <row r="138" spans="1:19" x14ac:dyDescent="0.25">
      <c r="C138" s="114"/>
    </row>
    <row r="139" spans="1:19" x14ac:dyDescent="0.25">
      <c r="C139" s="114"/>
    </row>
    <row r="140" spans="1:19" x14ac:dyDescent="0.25">
      <c r="C140" s="114"/>
    </row>
    <row r="141" spans="1:19" x14ac:dyDescent="0.25">
      <c r="C141" s="114"/>
    </row>
    <row r="142" spans="1:19" x14ac:dyDescent="0.25">
      <c r="C142" s="114"/>
    </row>
    <row r="143" spans="1:19" x14ac:dyDescent="0.25">
      <c r="C143" s="114"/>
    </row>
    <row r="144" spans="1:19" x14ac:dyDescent="0.25">
      <c r="C144" s="114"/>
    </row>
    <row r="145" spans="3:3" x14ac:dyDescent="0.25">
      <c r="C145" s="114"/>
    </row>
    <row r="146" spans="3:3" x14ac:dyDescent="0.25">
      <c r="C146" s="114"/>
    </row>
    <row r="147" spans="3:3" x14ac:dyDescent="0.25">
      <c r="C147" s="114"/>
    </row>
    <row r="148" spans="3:3" x14ac:dyDescent="0.25">
      <c r="C148" s="114"/>
    </row>
    <row r="149" spans="3:3" x14ac:dyDescent="0.25">
      <c r="C149" s="114"/>
    </row>
    <row r="150" spans="3:3" x14ac:dyDescent="0.25">
      <c r="C150" s="114"/>
    </row>
    <row r="151" spans="3:3" x14ac:dyDescent="0.25">
      <c r="C151" s="114"/>
    </row>
    <row r="152" spans="3:3" x14ac:dyDescent="0.25">
      <c r="C152" s="114"/>
    </row>
    <row r="153" spans="3:3" x14ac:dyDescent="0.25">
      <c r="C153" s="114"/>
    </row>
    <row r="154" spans="3:3" x14ac:dyDescent="0.25">
      <c r="C154" s="114"/>
    </row>
    <row r="155" spans="3:3" x14ac:dyDescent="0.25">
      <c r="C155" s="114"/>
    </row>
    <row r="156" spans="3:3" x14ac:dyDescent="0.25">
      <c r="C156" s="114"/>
    </row>
    <row r="157" spans="3:3" x14ac:dyDescent="0.25">
      <c r="C157" s="114"/>
    </row>
    <row r="158" spans="3:3" x14ac:dyDescent="0.25">
      <c r="C158" s="114"/>
    </row>
    <row r="159" spans="3:3" x14ac:dyDescent="0.25">
      <c r="C159" s="114"/>
    </row>
    <row r="160" spans="3:3" x14ac:dyDescent="0.25">
      <c r="C160" s="114"/>
    </row>
    <row r="161" spans="3:3" x14ac:dyDescent="0.25">
      <c r="C161" s="114"/>
    </row>
    <row r="162" spans="3:3" x14ac:dyDescent="0.25">
      <c r="C162" s="114"/>
    </row>
    <row r="163" spans="3:3" x14ac:dyDescent="0.25">
      <c r="C163" s="114"/>
    </row>
    <row r="164" spans="3:3" x14ac:dyDescent="0.25">
      <c r="C164" s="114"/>
    </row>
    <row r="165" spans="3:3" x14ac:dyDescent="0.25">
      <c r="C165" s="114"/>
    </row>
    <row r="166" spans="3:3" x14ac:dyDescent="0.25">
      <c r="C166" s="114"/>
    </row>
    <row r="167" spans="3:3" x14ac:dyDescent="0.25">
      <c r="C167" s="114"/>
    </row>
    <row r="168" spans="3:3" x14ac:dyDescent="0.25">
      <c r="C168" s="114"/>
    </row>
    <row r="169" spans="3:3" x14ac:dyDescent="0.25">
      <c r="C169" s="114"/>
    </row>
    <row r="170" spans="3:3" x14ac:dyDescent="0.25">
      <c r="C170" s="114"/>
    </row>
    <row r="171" spans="3:3" x14ac:dyDescent="0.25">
      <c r="C171" s="114"/>
    </row>
    <row r="172" spans="3:3" x14ac:dyDescent="0.25">
      <c r="C172" s="114"/>
    </row>
    <row r="173" spans="3:3" x14ac:dyDescent="0.25">
      <c r="C173" s="114"/>
    </row>
    <row r="174" spans="3:3" x14ac:dyDescent="0.25">
      <c r="C174" s="114"/>
    </row>
    <row r="175" spans="3:3" x14ac:dyDescent="0.25">
      <c r="C175" s="114"/>
    </row>
    <row r="176" spans="3:3" x14ac:dyDescent="0.25">
      <c r="C176" s="114"/>
    </row>
    <row r="177" spans="3:3" x14ac:dyDescent="0.25">
      <c r="C177" s="114"/>
    </row>
    <row r="178" spans="3:3" x14ac:dyDescent="0.25">
      <c r="C178" s="114"/>
    </row>
    <row r="179" spans="3:3" x14ac:dyDescent="0.25">
      <c r="C179" s="114"/>
    </row>
    <row r="180" spans="3:3" x14ac:dyDescent="0.25">
      <c r="C180" s="114"/>
    </row>
    <row r="181" spans="3:3" x14ac:dyDescent="0.25">
      <c r="C181" s="114"/>
    </row>
    <row r="182" spans="3:3" x14ac:dyDescent="0.25">
      <c r="C182" s="114"/>
    </row>
    <row r="183" spans="3:3" x14ac:dyDescent="0.25">
      <c r="C183" s="114"/>
    </row>
    <row r="184" spans="3:3" x14ac:dyDescent="0.25">
      <c r="C184" s="114"/>
    </row>
    <row r="185" spans="3:3" x14ac:dyDescent="0.25">
      <c r="C185" s="114"/>
    </row>
  </sheetData>
  <phoneticPr fontId="0" type="noConversion"/>
  <hyperlinks>
    <hyperlink ref="A1" location="'Working Budget with funding det'!A1" display="Main " xr:uid="{00000000-0004-0000-1600-000000000000}"/>
    <hyperlink ref="B1" location="'Table of Contents'!A1" display="TOC" xr:uid="{00000000-0004-0000-1600-000001000000}"/>
  </hyperlinks>
  <pageMargins left="0.75" right="0.75" top="1" bottom="1" header="0.5" footer="0.5"/>
  <pageSetup orientation="landscape" horizontalDpi="300" verticalDpi="300" r:id="rId1"/>
  <headerFooter alignWithMargins="0">
    <oddFooter>&amp;L&amp;D     &amp;T&amp;C&amp;F&amp;R&amp;A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pageSetUpPr fitToPage="1"/>
  </sheetPr>
  <dimension ref="A1:P30"/>
  <sheetViews>
    <sheetView topLeftCell="A3" workbookViewId="0">
      <selection activeCell="P3" sqref="P1:P1048576"/>
    </sheetView>
  </sheetViews>
  <sheetFormatPr defaultRowHeight="13.2" x14ac:dyDescent="0.25"/>
  <cols>
    <col min="1" max="1" width="9.44140625" style="885" bestFit="1" customWidth="1"/>
    <col min="2" max="2" width="35.77734375" customWidth="1"/>
    <col min="3" max="8" width="14.33203125" style="1" hidden="1" customWidth="1"/>
    <col min="9" max="10" width="14.33203125" hidden="1" customWidth="1"/>
    <col min="11" max="16" width="14.33203125" customWidth="1"/>
  </cols>
  <sheetData>
    <row r="1" spans="1:16" x14ac:dyDescent="0.25">
      <c r="A1" s="874" t="s">
        <v>1021</v>
      </c>
      <c r="B1" s="371" t="s">
        <v>1348</v>
      </c>
      <c r="D1" s="114"/>
      <c r="E1" s="114"/>
      <c r="F1" s="114"/>
      <c r="G1" s="114"/>
      <c r="H1" s="114"/>
      <c r="I1" s="114"/>
      <c r="J1" s="114"/>
      <c r="K1" s="114"/>
      <c r="L1" s="114"/>
      <c r="M1" s="114"/>
      <c r="O1" s="1"/>
    </row>
    <row r="2" spans="1:16" ht="13.8" x14ac:dyDescent="0.25">
      <c r="A2" s="875" t="s">
        <v>4</v>
      </c>
      <c r="B2" s="45"/>
      <c r="E2" s="141"/>
      <c r="I2" s="141" t="s">
        <v>257</v>
      </c>
      <c r="J2" s="141"/>
      <c r="K2" s="141"/>
      <c r="L2" s="141"/>
      <c r="M2" s="141"/>
      <c r="N2" s="61" t="s">
        <v>718</v>
      </c>
      <c r="O2" s="1"/>
      <c r="P2" s="46" t="s">
        <v>728</v>
      </c>
    </row>
    <row r="3" spans="1:16" ht="13.8" thickBot="1" x14ac:dyDescent="0.3">
      <c r="A3" s="876"/>
      <c r="B3" s="4"/>
      <c r="C3" s="23"/>
      <c r="D3" s="23"/>
      <c r="E3" s="23"/>
      <c r="F3" s="23"/>
      <c r="G3" s="23"/>
      <c r="H3" s="23"/>
      <c r="I3" s="23"/>
      <c r="J3" s="23"/>
      <c r="K3" s="23"/>
      <c r="L3" s="23"/>
      <c r="M3" s="23"/>
      <c r="N3" s="4"/>
      <c r="O3" s="23"/>
      <c r="P3" s="4"/>
    </row>
    <row r="4" spans="1:16" ht="13.8" thickTop="1" x14ac:dyDescent="0.25">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t="s">
        <v>910</v>
      </c>
    </row>
    <row r="5" spans="1:16" x14ac:dyDescent="0.25">
      <c r="A5" s="878"/>
      <c r="B5" s="209"/>
      <c r="C5" s="127"/>
      <c r="D5" s="87"/>
      <c r="E5" s="113"/>
      <c r="F5" s="87"/>
      <c r="G5" s="87"/>
      <c r="H5" s="113"/>
      <c r="I5" s="290"/>
      <c r="J5" s="290"/>
      <c r="K5" s="290"/>
      <c r="L5" s="290"/>
      <c r="M5" s="290"/>
      <c r="N5" s="113" t="s">
        <v>515</v>
      </c>
      <c r="O5" s="88" t="s">
        <v>7</v>
      </c>
      <c r="P5" s="203" t="s">
        <v>782</v>
      </c>
    </row>
    <row r="6" spans="1:16" x14ac:dyDescent="0.25">
      <c r="A6" s="878"/>
      <c r="B6" s="209"/>
      <c r="C6" s="127"/>
      <c r="D6" s="127"/>
      <c r="E6" s="127"/>
      <c r="F6" s="127"/>
      <c r="G6" s="127"/>
      <c r="H6" s="127"/>
      <c r="I6" s="88"/>
      <c r="J6" s="88"/>
      <c r="K6" s="88"/>
      <c r="L6" s="88"/>
      <c r="M6" s="88"/>
      <c r="N6" s="127"/>
      <c r="O6" s="88" t="s">
        <v>8</v>
      </c>
      <c r="P6" s="47" t="s">
        <v>543</v>
      </c>
    </row>
    <row r="7" spans="1:16"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44561</v>
      </c>
      <c r="O7" s="9" t="s">
        <v>9</v>
      </c>
      <c r="P7" s="9" t="s">
        <v>546</v>
      </c>
    </row>
    <row r="8" spans="1:16" ht="13.8" thickTop="1" x14ac:dyDescent="0.25">
      <c r="A8" s="908"/>
      <c r="B8" s="210"/>
      <c r="C8" s="132"/>
      <c r="D8" s="18"/>
      <c r="E8" s="18"/>
      <c r="F8" s="18"/>
      <c r="G8" s="18"/>
      <c r="H8" s="18"/>
      <c r="I8" s="19"/>
      <c r="J8" s="19"/>
      <c r="K8" s="19"/>
      <c r="L8" s="18"/>
      <c r="M8" s="19"/>
      <c r="N8" s="18"/>
      <c r="O8" s="19"/>
      <c r="P8" s="19"/>
    </row>
    <row r="9" spans="1:16" ht="13.8" thickBot="1" x14ac:dyDescent="0.3">
      <c r="A9" s="908">
        <v>5113</v>
      </c>
      <c r="B9" s="63" t="s">
        <v>1361</v>
      </c>
      <c r="C9" s="132"/>
      <c r="D9" s="18"/>
      <c r="E9" s="18"/>
      <c r="F9" s="18"/>
      <c r="G9" s="18"/>
      <c r="H9" s="15"/>
      <c r="I9" s="16"/>
      <c r="J9" s="16"/>
      <c r="K9" s="16">
        <v>4000</v>
      </c>
      <c r="L9" s="15">
        <v>4000</v>
      </c>
      <c r="M9" s="16">
        <v>4000</v>
      </c>
      <c r="N9" s="15"/>
      <c r="O9" s="16">
        <v>4000</v>
      </c>
      <c r="P9" s="16"/>
    </row>
    <row r="10" spans="1:16" x14ac:dyDescent="0.25">
      <c r="A10" s="908"/>
      <c r="B10" s="64" t="s">
        <v>675</v>
      </c>
      <c r="C10" s="132"/>
      <c r="D10" s="18"/>
      <c r="E10" s="18"/>
      <c r="F10" s="18"/>
      <c r="G10" s="18"/>
      <c r="H10" s="18"/>
      <c r="I10" s="19"/>
      <c r="J10" s="19"/>
      <c r="K10" s="19">
        <f>+K9</f>
        <v>4000</v>
      </c>
      <c r="L10" s="18">
        <f t="shared" ref="L10:N10" si="0">+L9</f>
        <v>4000</v>
      </c>
      <c r="M10" s="19">
        <f t="shared" si="0"/>
        <v>4000</v>
      </c>
      <c r="N10" s="19">
        <f t="shared" si="0"/>
        <v>0</v>
      </c>
      <c r="O10" s="19">
        <f>+O9</f>
        <v>4000</v>
      </c>
      <c r="P10" s="19"/>
    </row>
    <row r="11" spans="1:16" x14ac:dyDescent="0.25">
      <c r="A11" s="908"/>
      <c r="B11" s="63"/>
      <c r="C11" s="132"/>
      <c r="D11" s="18"/>
      <c r="E11" s="18"/>
      <c r="F11" s="18"/>
      <c r="G11" s="18"/>
      <c r="H11" s="18"/>
      <c r="I11" s="19"/>
      <c r="J11" s="19"/>
      <c r="K11" s="19"/>
      <c r="L11" s="18"/>
      <c r="M11" s="19"/>
      <c r="N11" s="18"/>
      <c r="O11" s="19"/>
      <c r="P11" s="19"/>
    </row>
    <row r="12" spans="1:16" x14ac:dyDescent="0.25">
      <c r="A12" s="908"/>
      <c r="B12" s="110"/>
      <c r="C12" s="132"/>
      <c r="D12" s="18"/>
      <c r="E12" s="18"/>
      <c r="F12" s="18"/>
      <c r="G12" s="18"/>
      <c r="H12" s="18"/>
      <c r="I12" s="19"/>
      <c r="J12" s="19"/>
      <c r="K12" s="19"/>
      <c r="L12" s="18"/>
      <c r="M12" s="19"/>
      <c r="N12" s="18"/>
      <c r="O12" s="19"/>
      <c r="P12" s="19"/>
    </row>
    <row r="13" spans="1:16" ht="13.8" thickBot="1" x14ac:dyDescent="0.3">
      <c r="A13" s="881">
        <v>5740</v>
      </c>
      <c r="B13" s="724" t="s">
        <v>719</v>
      </c>
      <c r="C13" s="131">
        <v>1485</v>
      </c>
      <c r="D13" s="15">
        <v>0</v>
      </c>
      <c r="E13" s="15">
        <v>676</v>
      </c>
      <c r="F13" s="15">
        <v>776</v>
      </c>
      <c r="G13" s="15">
        <v>984</v>
      </c>
      <c r="H13" s="15">
        <v>884</v>
      </c>
      <c r="I13" s="15">
        <v>882.6</v>
      </c>
      <c r="J13" s="15">
        <v>930</v>
      </c>
      <c r="K13" s="16">
        <v>1000</v>
      </c>
      <c r="L13" s="15">
        <v>815</v>
      </c>
      <c r="M13" s="16">
        <v>1000</v>
      </c>
      <c r="N13" s="15"/>
      <c r="O13" s="16">
        <v>1000</v>
      </c>
      <c r="P13" s="16"/>
    </row>
    <row r="14" spans="1:16" x14ac:dyDescent="0.25">
      <c r="A14" s="881"/>
      <c r="B14" s="64" t="s">
        <v>449</v>
      </c>
      <c r="C14" s="132">
        <f t="shared" ref="C14:O14" si="1">SUM(C13:C13)</f>
        <v>1485</v>
      </c>
      <c r="D14" s="18">
        <f t="shared" si="1"/>
        <v>0</v>
      </c>
      <c r="E14" s="18">
        <f t="shared" si="1"/>
        <v>676</v>
      </c>
      <c r="F14" s="18">
        <f>+F13</f>
        <v>776</v>
      </c>
      <c r="G14" s="18">
        <f>+G13</f>
        <v>984</v>
      </c>
      <c r="H14" s="18">
        <f>+H13</f>
        <v>884</v>
      </c>
      <c r="I14" s="18">
        <f t="shared" si="1"/>
        <v>882.6</v>
      </c>
      <c r="J14" s="18">
        <f t="shared" ref="J14" si="2">SUM(J13:J13)</f>
        <v>930</v>
      </c>
      <c r="K14" s="36">
        <f t="shared" ref="K14" si="3">SUM(K13:K13)</f>
        <v>1000</v>
      </c>
      <c r="L14" s="18">
        <f t="shared" ref="L14:M14" si="4">SUM(L13:L13)</f>
        <v>815</v>
      </c>
      <c r="M14" s="36">
        <f t="shared" si="4"/>
        <v>1000</v>
      </c>
      <c r="N14" s="18">
        <f t="shared" si="1"/>
        <v>0</v>
      </c>
      <c r="O14" s="36">
        <f t="shared" si="1"/>
        <v>1000</v>
      </c>
      <c r="P14" s="36">
        <f>SUM(P13:P13)</f>
        <v>0</v>
      </c>
    </row>
    <row r="15" spans="1:16" x14ac:dyDescent="0.25">
      <c r="A15" s="881"/>
      <c r="B15" s="63"/>
      <c r="C15" s="130"/>
      <c r="D15" s="13"/>
      <c r="E15" s="13"/>
      <c r="F15" s="13"/>
      <c r="G15" s="13"/>
      <c r="H15" s="13"/>
      <c r="I15" s="13"/>
      <c r="J15" s="13"/>
      <c r="K15" s="14"/>
      <c r="L15" s="13"/>
      <c r="M15" s="14"/>
      <c r="N15" s="13"/>
      <c r="O15" s="14"/>
      <c r="P15" s="14"/>
    </row>
    <row r="16" spans="1:16" x14ac:dyDescent="0.25">
      <c r="A16" s="881"/>
      <c r="B16" s="63"/>
      <c r="C16" s="130"/>
      <c r="D16" s="13"/>
      <c r="E16" s="13"/>
      <c r="F16" s="13"/>
      <c r="G16" s="13"/>
      <c r="H16" s="13"/>
      <c r="I16" s="13"/>
      <c r="J16" s="13"/>
      <c r="K16" s="14"/>
      <c r="L16" s="13"/>
      <c r="M16" s="14"/>
      <c r="N16" s="13"/>
      <c r="O16" s="14"/>
      <c r="P16" s="14"/>
    </row>
    <row r="17" spans="1:16" ht="13.8" thickBot="1" x14ac:dyDescent="0.3">
      <c r="A17" s="882"/>
      <c r="B17" s="723" t="s">
        <v>720</v>
      </c>
      <c r="C17" s="714">
        <f t="shared" ref="C17:N17" si="5">+C14</f>
        <v>1485</v>
      </c>
      <c r="D17" s="21">
        <f t="shared" si="5"/>
        <v>0</v>
      </c>
      <c r="E17" s="21">
        <f>+E14</f>
        <v>676</v>
      </c>
      <c r="F17" s="21">
        <f>+F14</f>
        <v>776</v>
      </c>
      <c r="G17" s="21">
        <f>+G14</f>
        <v>984</v>
      </c>
      <c r="H17" s="21">
        <f>+H14</f>
        <v>884</v>
      </c>
      <c r="I17" s="21">
        <f t="shared" si="5"/>
        <v>882.6</v>
      </c>
      <c r="J17" s="21">
        <f t="shared" ref="J17" si="6">+J14</f>
        <v>930</v>
      </c>
      <c r="K17" s="41">
        <f>+K14+K10</f>
        <v>5000</v>
      </c>
      <c r="L17" s="21">
        <f t="shared" ref="L17:M17" si="7">+L14+L10</f>
        <v>4815</v>
      </c>
      <c r="M17" s="41">
        <f t="shared" si="7"/>
        <v>5000</v>
      </c>
      <c r="N17" s="21">
        <f t="shared" si="5"/>
        <v>0</v>
      </c>
      <c r="O17" s="41">
        <f>+O14+O10</f>
        <v>5000</v>
      </c>
      <c r="P17" s="41">
        <f>+O17</f>
        <v>5000</v>
      </c>
    </row>
    <row r="18" spans="1:16" ht="13.8" thickTop="1" x14ac:dyDescent="0.25">
      <c r="A18" s="876"/>
      <c r="B18" s="724"/>
      <c r="C18" s="24"/>
      <c r="D18" s="24"/>
      <c r="E18" s="24"/>
      <c r="F18" s="24"/>
      <c r="G18" s="24"/>
      <c r="H18" s="24"/>
      <c r="I18" s="24"/>
      <c r="J18" s="24"/>
      <c r="K18" s="24"/>
      <c r="L18" s="24"/>
      <c r="M18" s="24"/>
      <c r="N18" s="25"/>
      <c r="O18" s="24"/>
      <c r="P18" s="23"/>
    </row>
    <row r="19" spans="1:16" x14ac:dyDescent="0.25">
      <c r="B19" s="328"/>
    </row>
    <row r="20" spans="1:16" x14ac:dyDescent="0.25">
      <c r="B20" s="328"/>
    </row>
    <row r="21" spans="1:16" x14ac:dyDescent="0.25">
      <c r="B21" s="341"/>
    </row>
    <row r="22" spans="1:16" ht="13.8" thickBot="1" x14ac:dyDescent="0.3">
      <c r="B22" s="328"/>
    </row>
    <row r="23" spans="1:16" ht="13.8" thickTop="1" x14ac:dyDescent="0.25">
      <c r="A23" s="893"/>
      <c r="B23" s="452"/>
      <c r="C23" s="453" t="s">
        <v>127</v>
      </c>
      <c r="D23" s="454" t="s">
        <v>127</v>
      </c>
      <c r="E23" s="454" t="s">
        <v>127</v>
      </c>
      <c r="K23" s="455" t="s">
        <v>547</v>
      </c>
      <c r="L23" s="456" t="s">
        <v>9</v>
      </c>
      <c r="M23" s="457" t="s">
        <v>1073</v>
      </c>
      <c r="N23" s="456" t="s">
        <v>686</v>
      </c>
      <c r="O23" s="458"/>
      <c r="P23" s="457"/>
    </row>
    <row r="24" spans="1:16" ht="13.8" thickBot="1" x14ac:dyDescent="0.3">
      <c r="A24" s="894" t="s">
        <v>128</v>
      </c>
      <c r="B24" s="459"/>
      <c r="C24" s="460" t="s">
        <v>347</v>
      </c>
      <c r="D24" s="460" t="s">
        <v>722</v>
      </c>
      <c r="E24" s="461" t="s">
        <v>737</v>
      </c>
      <c r="K24" s="462" t="s">
        <v>909</v>
      </c>
      <c r="L24" s="462" t="s">
        <v>910</v>
      </c>
      <c r="M24" s="461" t="s">
        <v>1075</v>
      </c>
      <c r="N24" s="463" t="s">
        <v>1075</v>
      </c>
      <c r="O24" s="464" t="s">
        <v>1074</v>
      </c>
      <c r="P24" s="462"/>
    </row>
    <row r="25" spans="1:16" ht="13.8" thickTop="1" x14ac:dyDescent="0.25">
      <c r="A25" s="910"/>
      <c r="B25" s="480"/>
      <c r="C25" s="468"/>
      <c r="D25" s="468"/>
      <c r="E25" s="468"/>
      <c r="K25" s="469"/>
      <c r="L25" s="468"/>
      <c r="M25" s="471"/>
      <c r="N25" s="477"/>
      <c r="O25" s="470"/>
      <c r="P25" s="471"/>
    </row>
    <row r="26" spans="1:16" x14ac:dyDescent="0.25">
      <c r="A26" s="910">
        <v>5100</v>
      </c>
      <c r="B26" s="480" t="s">
        <v>1361</v>
      </c>
      <c r="C26" s="468"/>
      <c r="D26" s="468"/>
      <c r="E26" s="468"/>
      <c r="F26" s="741"/>
      <c r="G26" s="741"/>
      <c r="K26" s="469">
        <f>+M9</f>
        <v>4000</v>
      </c>
      <c r="L26" s="468">
        <f>+O9</f>
        <v>4000</v>
      </c>
      <c r="M26" s="471">
        <f>+L26-K26</f>
        <v>0</v>
      </c>
      <c r="N26" s="477" t="str">
        <f>IF(K26+L26&lt;&gt;0,IF(K26&lt;&gt;0,IF(M26&lt;&gt;0,ROUND((+M26/K26),4),""),1),"")</f>
        <v/>
      </c>
      <c r="O26" s="470"/>
      <c r="P26" s="471"/>
    </row>
    <row r="27" spans="1:16" x14ac:dyDescent="0.25">
      <c r="A27" s="910"/>
      <c r="B27" s="501"/>
      <c r="C27" s="481"/>
      <c r="D27" s="481"/>
      <c r="E27" s="481"/>
      <c r="K27" s="740"/>
      <c r="L27" s="481"/>
      <c r="M27" s="471"/>
      <c r="N27" s="477"/>
      <c r="O27" s="470"/>
      <c r="P27" s="471"/>
    </row>
    <row r="28" spans="1:16" ht="13.8" thickBot="1" x14ac:dyDescent="0.3">
      <c r="A28" s="907">
        <v>5740</v>
      </c>
      <c r="B28" s="492" t="s">
        <v>719</v>
      </c>
      <c r="C28" s="474">
        <v>1485</v>
      </c>
      <c r="D28" s="474">
        <v>0</v>
      </c>
      <c r="E28" s="474">
        <v>676</v>
      </c>
      <c r="K28" s="485">
        <f>+M13</f>
        <v>1000</v>
      </c>
      <c r="L28" s="653">
        <f>+O13</f>
        <v>1000</v>
      </c>
      <c r="M28" s="471">
        <f>+L28-K28</f>
        <v>0</v>
      </c>
      <c r="N28" s="477" t="str">
        <f>IF(K28+L28&lt;&gt;0,IF(K28&lt;&gt;0,IF(M28&lt;&gt;0,ROUND((+M28/K28),4),""),1),"")</f>
        <v/>
      </c>
      <c r="O28" s="470"/>
      <c r="P28" s="471"/>
    </row>
    <row r="29" spans="1:16" x14ac:dyDescent="0.25">
      <c r="K29" s="1"/>
    </row>
    <row r="30" spans="1:16" x14ac:dyDescent="0.25">
      <c r="B30" s="4" t="s">
        <v>1363</v>
      </c>
      <c r="C30" s="23"/>
      <c r="D30" s="23"/>
      <c r="E30" s="23"/>
      <c r="F30" s="23"/>
      <c r="G30" s="23"/>
      <c r="K30" s="742">
        <f>SUM(K26:K28)</f>
        <v>5000</v>
      </c>
      <c r="L30" s="742">
        <f>SUM(I19:I29)</f>
        <v>0</v>
      </c>
      <c r="M30" s="202">
        <f>+L30-K30</f>
        <v>-5000</v>
      </c>
      <c r="N30" s="743">
        <f>IF(K30+L30&lt;&gt;0,IF(K30&lt;&gt;0,IF(M30&lt;&gt;0,ROUND((+M30/K30),4),""),1),"")</f>
        <v>-1</v>
      </c>
    </row>
  </sheetData>
  <phoneticPr fontId="16" type="noConversion"/>
  <hyperlinks>
    <hyperlink ref="A1" location="'Working Budget with funding det'!A1" display="Main " xr:uid="{00000000-0004-0000-1700-000000000000}"/>
    <hyperlink ref="B1" location="'Table of Contents'!A1" display="TOC" xr:uid="{00000000-0004-0000-1700-000001000000}"/>
  </hyperlinks>
  <pageMargins left="0.75" right="0.75" top="1" bottom="1" header="0.5" footer="0.5"/>
  <pageSetup fitToHeight="6" orientation="landscape" r:id="rId1"/>
  <headerFooter alignWithMargins="0">
    <oddFooter>&amp;L&amp;D &amp;T&amp;C&amp;F&amp;R&amp;A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pageSetUpPr fitToPage="1"/>
  </sheetPr>
  <dimension ref="A1:V75"/>
  <sheetViews>
    <sheetView topLeftCell="B1" zoomScaleNormal="100" workbookViewId="0">
      <pane ySplit="7" topLeftCell="A27" activePane="bottomLeft" state="frozen"/>
      <selection activeCell="P7" sqref="P7"/>
      <selection pane="bottomLeft" activeCell="P42" sqref="P42"/>
    </sheetView>
  </sheetViews>
  <sheetFormatPr defaultRowHeight="13.2" x14ac:dyDescent="0.25"/>
  <cols>
    <col min="1" max="1" width="11.77734375" style="885" customWidth="1"/>
    <col min="2" max="2" width="39.109375" customWidth="1"/>
    <col min="3" max="3" width="14.44140625" style="1" hidden="1" customWidth="1"/>
    <col min="4" max="8" width="14.44140625" style="114" hidden="1" customWidth="1"/>
    <col min="9" max="10" width="14.44140625" style="80" hidden="1" customWidth="1"/>
    <col min="11" max="12" width="14.44140625" style="80" customWidth="1"/>
    <col min="13" max="13" width="14.44140625" style="80" hidden="1" customWidth="1"/>
    <col min="14" max="16" width="14.44140625" customWidth="1"/>
    <col min="17" max="17" width="10.6640625" customWidth="1"/>
    <col min="19" max="19" width="13.33203125" bestFit="1" customWidth="1"/>
  </cols>
  <sheetData>
    <row r="1" spans="1:22" x14ac:dyDescent="0.25">
      <c r="A1" s="874" t="s">
        <v>1021</v>
      </c>
      <c r="B1" s="371" t="s">
        <v>1348</v>
      </c>
      <c r="D1" s="224"/>
      <c r="E1" s="224"/>
      <c r="F1" s="224"/>
      <c r="G1" s="224"/>
      <c r="H1" s="224"/>
      <c r="I1" s="224"/>
      <c r="J1" s="224"/>
      <c r="K1" s="224"/>
      <c r="L1" s="224"/>
      <c r="M1" s="224"/>
      <c r="O1" s="1"/>
    </row>
    <row r="2" spans="1:22" ht="13.8" x14ac:dyDescent="0.25">
      <c r="A2" s="875" t="s">
        <v>4</v>
      </c>
      <c r="B2" s="45"/>
      <c r="E2" s="141"/>
      <c r="I2" s="141" t="s">
        <v>257</v>
      </c>
      <c r="J2" s="141"/>
      <c r="K2" s="141"/>
      <c r="L2" s="141"/>
      <c r="M2" s="141"/>
      <c r="N2" s="61" t="s">
        <v>5</v>
      </c>
      <c r="O2" s="1"/>
      <c r="P2" s="46" t="s">
        <v>6</v>
      </c>
    </row>
    <row r="3" spans="1:22" ht="13.8" thickBot="1" x14ac:dyDescent="0.3">
      <c r="A3" s="876"/>
      <c r="B3" s="4"/>
      <c r="C3" s="23"/>
      <c r="D3" s="23"/>
      <c r="E3" s="23"/>
      <c r="F3" s="23"/>
      <c r="G3" s="23"/>
      <c r="H3" s="23"/>
      <c r="I3" s="23"/>
      <c r="J3" s="23"/>
      <c r="K3" s="23"/>
      <c r="L3" s="23"/>
      <c r="M3" s="23"/>
      <c r="N3" s="4"/>
      <c r="O3" s="23"/>
      <c r="P3" s="4"/>
    </row>
    <row r="4" spans="1:22" ht="13.8" thickTop="1" x14ac:dyDescent="0.25">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t="s">
        <v>910</v>
      </c>
      <c r="R4" s="216"/>
      <c r="S4" s="216"/>
      <c r="T4" s="216"/>
      <c r="U4" s="216"/>
      <c r="V4" s="216"/>
    </row>
    <row r="5" spans="1:22" x14ac:dyDescent="0.25">
      <c r="A5" s="878"/>
      <c r="B5" s="209"/>
      <c r="C5" s="127"/>
      <c r="D5" s="87"/>
      <c r="E5" s="113"/>
      <c r="F5" s="87"/>
      <c r="G5" s="87"/>
      <c r="H5" s="113"/>
      <c r="I5" s="290"/>
      <c r="J5" s="290"/>
      <c r="K5" s="290"/>
      <c r="L5" s="290"/>
      <c r="M5" s="290"/>
      <c r="N5" s="113" t="s">
        <v>515</v>
      </c>
      <c r="O5" s="88" t="s">
        <v>7</v>
      </c>
      <c r="P5" s="203" t="s">
        <v>782</v>
      </c>
      <c r="R5" s="240"/>
      <c r="T5" s="240"/>
    </row>
    <row r="6" spans="1:22" x14ac:dyDescent="0.25">
      <c r="A6" s="878"/>
      <c r="B6" s="209"/>
      <c r="C6" s="127"/>
      <c r="D6" s="127"/>
      <c r="E6" s="127"/>
      <c r="F6" s="127"/>
      <c r="G6" s="127"/>
      <c r="H6" s="127"/>
      <c r="I6" s="88"/>
      <c r="J6" s="88"/>
      <c r="K6" s="88"/>
      <c r="L6" s="88"/>
      <c r="M6" s="88"/>
      <c r="N6" s="127"/>
      <c r="O6" s="88" t="s">
        <v>8</v>
      </c>
      <c r="P6" s="47" t="s">
        <v>543</v>
      </c>
    </row>
    <row r="7" spans="1:22"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44561</v>
      </c>
      <c r="O7" s="9" t="s">
        <v>9</v>
      </c>
      <c r="P7" s="9" t="s">
        <v>546</v>
      </c>
    </row>
    <row r="8" spans="1:22" ht="13.8" thickTop="1" x14ac:dyDescent="0.25">
      <c r="A8" s="908"/>
      <c r="B8" s="210"/>
      <c r="C8" s="132"/>
      <c r="D8" s="18"/>
      <c r="E8" s="18"/>
      <c r="F8" s="18"/>
      <c r="G8" s="18"/>
      <c r="H8" s="18"/>
      <c r="I8" s="19"/>
      <c r="J8" s="19"/>
      <c r="K8" s="19"/>
      <c r="L8" s="19"/>
      <c r="M8" s="19"/>
      <c r="N8" s="18"/>
      <c r="O8" s="19"/>
      <c r="P8" s="19"/>
    </row>
    <row r="9" spans="1:22" x14ac:dyDescent="0.25">
      <c r="A9" s="881"/>
      <c r="B9" s="63"/>
      <c r="C9" s="130"/>
      <c r="D9" s="13"/>
      <c r="E9" s="13"/>
      <c r="F9" s="13"/>
      <c r="G9" s="13"/>
      <c r="H9" s="13"/>
      <c r="I9" s="13"/>
      <c r="J9" s="13"/>
      <c r="K9" s="14"/>
      <c r="L9" s="14"/>
      <c r="M9" s="14"/>
      <c r="N9" s="13"/>
      <c r="O9" s="14"/>
      <c r="P9" s="14"/>
    </row>
    <row r="10" spans="1:22" x14ac:dyDescent="0.25">
      <c r="A10" s="881" t="s">
        <v>60</v>
      </c>
      <c r="B10" s="63" t="s">
        <v>70</v>
      </c>
      <c r="C10" s="130">
        <v>17860.46</v>
      </c>
      <c r="D10" s="13">
        <v>18618.21</v>
      </c>
      <c r="E10" s="13">
        <v>18675.71</v>
      </c>
      <c r="F10" s="13">
        <v>20061.82</v>
      </c>
      <c r="G10" s="13">
        <v>18262.55</v>
      </c>
      <c r="H10" s="13">
        <v>18055.12</v>
      </c>
      <c r="I10" s="144">
        <v>18198.669999999998</v>
      </c>
      <c r="J10" s="144">
        <v>17101.080000000002</v>
      </c>
      <c r="K10" s="122">
        <v>19000</v>
      </c>
      <c r="L10" s="144">
        <v>18095.849999999999</v>
      </c>
      <c r="M10" s="1081">
        <v>20600</v>
      </c>
      <c r="N10" s="1082">
        <v>11709.93</v>
      </c>
      <c r="O10" s="1081">
        <v>21424</v>
      </c>
      <c r="P10" s="954"/>
      <c r="Q10" s="738"/>
      <c r="S10" s="738"/>
    </row>
    <row r="11" spans="1:22" x14ac:dyDescent="0.25">
      <c r="A11" s="881" t="s">
        <v>26</v>
      </c>
      <c r="B11" s="63" t="s">
        <v>27</v>
      </c>
      <c r="C11" s="130">
        <v>418.21</v>
      </c>
      <c r="D11" s="13">
        <v>455.51</v>
      </c>
      <c r="E11" s="13">
        <v>520.94000000000005</v>
      </c>
      <c r="F11" s="13">
        <v>468.41</v>
      </c>
      <c r="G11" s="13">
        <v>598.34</v>
      </c>
      <c r="H11" s="13">
        <v>430.31</v>
      </c>
      <c r="I11" s="144">
        <v>493.42</v>
      </c>
      <c r="J11" s="144">
        <v>545.65</v>
      </c>
      <c r="K11" s="122">
        <v>600</v>
      </c>
      <c r="L11" s="144">
        <v>528.63</v>
      </c>
      <c r="M11" s="1081">
        <v>650</v>
      </c>
      <c r="N11" s="1082">
        <v>216.86</v>
      </c>
      <c r="O11" s="1081">
        <v>676</v>
      </c>
      <c r="P11" s="954"/>
      <c r="Q11" s="738"/>
      <c r="S11" s="738"/>
    </row>
    <row r="12" spans="1:22" hidden="1" x14ac:dyDescent="0.25">
      <c r="A12" s="881" t="s">
        <v>969</v>
      </c>
      <c r="B12" s="63" t="s">
        <v>970</v>
      </c>
      <c r="C12" s="130"/>
      <c r="D12" s="13"/>
      <c r="E12" s="13"/>
      <c r="F12" s="13">
        <v>2761.26</v>
      </c>
      <c r="G12" s="13"/>
      <c r="H12" s="13"/>
      <c r="I12" s="144"/>
      <c r="J12" s="144"/>
      <c r="K12" s="122"/>
      <c r="L12" s="144"/>
      <c r="M12" s="1081"/>
      <c r="N12" s="1082"/>
      <c r="O12" s="1081"/>
      <c r="P12" s="954"/>
      <c r="Q12" s="738"/>
      <c r="S12" s="738"/>
    </row>
    <row r="13" spans="1:22" x14ac:dyDescent="0.25">
      <c r="A13" s="881" t="s">
        <v>15</v>
      </c>
      <c r="B13" s="63" t="s">
        <v>16</v>
      </c>
      <c r="C13" s="130">
        <v>30066.65</v>
      </c>
      <c r="D13" s="13">
        <v>32695.66</v>
      </c>
      <c r="E13" s="13">
        <v>29432.98</v>
      </c>
      <c r="F13" s="13">
        <v>33080.11</v>
      </c>
      <c r="G13" s="13">
        <v>30230.91</v>
      </c>
      <c r="H13" s="13">
        <v>31793.09</v>
      </c>
      <c r="I13" s="144">
        <v>26843.79</v>
      </c>
      <c r="J13" s="144">
        <v>18095.02</v>
      </c>
      <c r="K13" s="122">
        <v>20000</v>
      </c>
      <c r="L13" s="144">
        <v>17693.810000000001</v>
      </c>
      <c r="M13" s="1081">
        <v>21000</v>
      </c>
      <c r="N13" s="1082">
        <v>9062.86</v>
      </c>
      <c r="O13" s="1081">
        <v>21840</v>
      </c>
      <c r="P13" s="122"/>
      <c r="Q13" s="738"/>
      <c r="S13" s="738"/>
    </row>
    <row r="14" spans="1:22" x14ac:dyDescent="0.25">
      <c r="A14" s="881" t="s">
        <v>59</v>
      </c>
      <c r="B14" s="63" t="s">
        <v>71</v>
      </c>
      <c r="C14" s="130">
        <v>6158.88</v>
      </c>
      <c r="D14" s="13">
        <v>6302.72</v>
      </c>
      <c r="E14" s="13">
        <v>6068.61</v>
      </c>
      <c r="F14" s="13">
        <v>5878.49</v>
      </c>
      <c r="G14" s="13">
        <v>5082.01</v>
      </c>
      <c r="H14" s="13">
        <v>5663.22</v>
      </c>
      <c r="I14" s="144">
        <v>5872</v>
      </c>
      <c r="J14" s="144">
        <v>4665.2700000000004</v>
      </c>
      <c r="K14" s="122">
        <v>13000</v>
      </c>
      <c r="L14" s="144">
        <v>17898.29</v>
      </c>
      <c r="M14" s="1081">
        <v>25446</v>
      </c>
      <c r="N14" s="1082">
        <v>9209.6200000000008</v>
      </c>
      <c r="O14" s="1081">
        <v>26464</v>
      </c>
      <c r="P14" s="954"/>
      <c r="Q14" s="738"/>
      <c r="S14" s="738"/>
    </row>
    <row r="15" spans="1:22" x14ac:dyDescent="0.25">
      <c r="A15" s="881" t="s">
        <v>616</v>
      </c>
      <c r="B15" s="63" t="s">
        <v>797</v>
      </c>
      <c r="C15" s="130">
        <v>3735.02</v>
      </c>
      <c r="D15" s="13">
        <v>3841.24</v>
      </c>
      <c r="E15" s="13">
        <v>3791.57</v>
      </c>
      <c r="F15" s="13">
        <v>3702.44</v>
      </c>
      <c r="G15" s="13">
        <v>3833.66</v>
      </c>
      <c r="H15" s="13">
        <v>4323.21</v>
      </c>
      <c r="I15" s="144">
        <v>4665</v>
      </c>
      <c r="J15" s="144">
        <v>4668.2</v>
      </c>
      <c r="K15" s="122">
        <v>5500</v>
      </c>
      <c r="L15" s="144">
        <v>4009.88</v>
      </c>
      <c r="M15" s="1081">
        <v>4500</v>
      </c>
      <c r="N15" s="1082">
        <v>2223.73</v>
      </c>
      <c r="O15" s="1081">
        <v>4680</v>
      </c>
      <c r="P15" s="954"/>
      <c r="Q15" s="738"/>
      <c r="S15" s="738"/>
    </row>
    <row r="16" spans="1:22" x14ac:dyDescent="0.25">
      <c r="A16" s="881" t="s">
        <v>24</v>
      </c>
      <c r="B16" s="63" t="s">
        <v>72</v>
      </c>
      <c r="C16" s="130">
        <v>2394.5</v>
      </c>
      <c r="D16" s="13">
        <v>2061.5700000000002</v>
      </c>
      <c r="E16" s="13">
        <v>1032.4000000000001</v>
      </c>
      <c r="F16" s="13">
        <v>749.36</v>
      </c>
      <c r="G16" s="13">
        <v>826.63</v>
      </c>
      <c r="H16" s="13">
        <v>911.65</v>
      </c>
      <c r="I16" s="144">
        <v>853.27</v>
      </c>
      <c r="J16" s="144">
        <v>555.37</v>
      </c>
      <c r="K16" s="122">
        <v>1000</v>
      </c>
      <c r="L16" s="144">
        <v>522.53</v>
      </c>
      <c r="M16" s="1081">
        <v>700</v>
      </c>
      <c r="N16" s="1082">
        <v>233.57</v>
      </c>
      <c r="O16" s="1081">
        <v>728</v>
      </c>
      <c r="P16" s="954"/>
      <c r="Q16" s="738"/>
      <c r="S16" s="738"/>
    </row>
    <row r="17" spans="1:21" x14ac:dyDescent="0.25">
      <c r="A17" s="881" t="s">
        <v>25</v>
      </c>
      <c r="B17" s="63" t="s">
        <v>73</v>
      </c>
      <c r="C17" s="130">
        <v>2549.33</v>
      </c>
      <c r="D17" s="13">
        <v>2900.08</v>
      </c>
      <c r="E17" s="13">
        <v>2577.86</v>
      </c>
      <c r="F17" s="13">
        <v>2757.85</v>
      </c>
      <c r="G17" s="13">
        <v>2333.6799999999998</v>
      </c>
      <c r="H17" s="13">
        <v>2573.5</v>
      </c>
      <c r="I17" s="144">
        <v>2602.7600000000002</v>
      </c>
      <c r="J17" s="144">
        <v>2599.19</v>
      </c>
      <c r="K17" s="122">
        <v>3000</v>
      </c>
      <c r="L17" s="144">
        <v>2726.24</v>
      </c>
      <c r="M17" s="1081">
        <v>3000</v>
      </c>
      <c r="N17" s="1082">
        <v>1414.77</v>
      </c>
      <c r="O17" s="1081">
        <v>3120</v>
      </c>
      <c r="P17" s="954"/>
      <c r="Q17" s="738"/>
      <c r="S17" s="738"/>
    </row>
    <row r="18" spans="1:21" x14ac:dyDescent="0.25">
      <c r="A18" s="881" t="s">
        <v>61</v>
      </c>
      <c r="B18" s="63" t="s">
        <v>74</v>
      </c>
      <c r="C18" s="130">
        <v>14145.02</v>
      </c>
      <c r="D18" s="13">
        <v>21632.63</v>
      </c>
      <c r="E18" s="13">
        <v>18865.080000000002</v>
      </c>
      <c r="F18" s="13">
        <v>10448.209999999999</v>
      </c>
      <c r="G18" s="13">
        <v>11643.03</v>
      </c>
      <c r="H18" s="13">
        <v>10034.4</v>
      </c>
      <c r="I18" s="144">
        <v>14685.23</v>
      </c>
      <c r="J18" s="144">
        <v>12186.51</v>
      </c>
      <c r="K18" s="122">
        <v>20000</v>
      </c>
      <c r="L18" s="144">
        <v>8075.7</v>
      </c>
      <c r="M18" s="1081">
        <v>13000</v>
      </c>
      <c r="N18" s="1082">
        <v>1646.92</v>
      </c>
      <c r="O18" s="1081">
        <v>13000</v>
      </c>
      <c r="P18" s="954"/>
      <c r="Q18" s="738"/>
      <c r="S18" s="738"/>
    </row>
    <row r="19" spans="1:21" x14ac:dyDescent="0.25">
      <c r="A19" s="881" t="s">
        <v>695</v>
      </c>
      <c r="B19" s="12" t="s">
        <v>358</v>
      </c>
      <c r="C19" s="13">
        <v>8111.96</v>
      </c>
      <c r="D19" s="13">
        <v>10821.64</v>
      </c>
      <c r="E19" s="13">
        <v>9566.7000000000007</v>
      </c>
      <c r="F19" s="13">
        <v>6423.13</v>
      </c>
      <c r="G19" s="13">
        <v>8360.0499999999993</v>
      </c>
      <c r="H19" s="13">
        <v>9797.56</v>
      </c>
      <c r="I19" s="144">
        <v>10832.95</v>
      </c>
      <c r="J19" s="144">
        <v>8770.16</v>
      </c>
      <c r="K19" s="122">
        <v>10500</v>
      </c>
      <c r="L19" s="144">
        <v>7889.97</v>
      </c>
      <c r="M19" s="1081">
        <v>10000</v>
      </c>
      <c r="N19" s="1082">
        <v>1241.55</v>
      </c>
      <c r="O19" s="1081">
        <v>10000</v>
      </c>
      <c r="P19" s="954"/>
      <c r="Q19" s="738"/>
      <c r="S19" s="738"/>
    </row>
    <row r="20" spans="1:21" hidden="1" x14ac:dyDescent="0.25">
      <c r="A20" s="881" t="s">
        <v>10</v>
      </c>
      <c r="B20" s="12" t="s">
        <v>11</v>
      </c>
      <c r="C20" s="13"/>
      <c r="D20" s="13">
        <v>0</v>
      </c>
      <c r="E20" s="13"/>
      <c r="F20" s="13"/>
      <c r="G20" s="13"/>
      <c r="H20" s="13"/>
      <c r="I20" s="144"/>
      <c r="J20" s="144"/>
      <c r="K20" s="122"/>
      <c r="L20" s="144"/>
      <c r="M20" s="1081"/>
      <c r="N20" s="1082"/>
      <c r="O20" s="1081"/>
      <c r="P20" s="954"/>
      <c r="Q20" s="738"/>
      <c r="S20" s="738"/>
    </row>
    <row r="21" spans="1:21" hidden="1" x14ac:dyDescent="0.25">
      <c r="A21" s="881" t="s">
        <v>971</v>
      </c>
      <c r="B21" s="12" t="s">
        <v>972</v>
      </c>
      <c r="C21" s="13"/>
      <c r="D21" s="13"/>
      <c r="E21" s="13"/>
      <c r="F21" s="13">
        <v>813.56</v>
      </c>
      <c r="G21" s="13"/>
      <c r="H21" s="13"/>
      <c r="I21" s="144"/>
      <c r="J21" s="144"/>
      <c r="K21" s="122"/>
      <c r="L21" s="144"/>
      <c r="M21" s="1081"/>
      <c r="N21" s="1082"/>
      <c r="O21" s="1081"/>
      <c r="P21" s="954"/>
      <c r="Q21" s="738"/>
      <c r="S21" s="738"/>
    </row>
    <row r="22" spans="1:21" x14ac:dyDescent="0.25">
      <c r="A22" s="881" t="s">
        <v>13</v>
      </c>
      <c r="B22" s="12" t="s">
        <v>359</v>
      </c>
      <c r="C22" s="13">
        <v>619.48</v>
      </c>
      <c r="D22" s="13">
        <v>657.3</v>
      </c>
      <c r="E22" s="13">
        <v>614.69000000000005</v>
      </c>
      <c r="F22" s="13">
        <v>557.64</v>
      </c>
      <c r="G22" s="13">
        <v>554.92999999999995</v>
      </c>
      <c r="H22" s="13">
        <v>585.23</v>
      </c>
      <c r="I22" s="144">
        <v>681.26</v>
      </c>
      <c r="J22" s="144">
        <v>628.23</v>
      </c>
      <c r="K22" s="122">
        <v>775</v>
      </c>
      <c r="L22" s="144">
        <v>605.89</v>
      </c>
      <c r="M22" s="1081">
        <v>700</v>
      </c>
      <c r="N22" s="1082">
        <v>238.76</v>
      </c>
      <c r="O22" s="1081">
        <v>700</v>
      </c>
      <c r="P22" s="955"/>
      <c r="Q22" s="738"/>
      <c r="S22" s="738"/>
    </row>
    <row r="23" spans="1:21" x14ac:dyDescent="0.25">
      <c r="A23" s="881" t="s">
        <v>62</v>
      </c>
      <c r="B23" s="12" t="s">
        <v>785</v>
      </c>
      <c r="C23" s="13">
        <v>1206.5999999999999</v>
      </c>
      <c r="D23" s="13">
        <v>1314.27</v>
      </c>
      <c r="E23" s="13">
        <v>1180.54</v>
      </c>
      <c r="F23" s="13">
        <v>783.58</v>
      </c>
      <c r="G23" s="13">
        <v>945.8</v>
      </c>
      <c r="H23" s="13">
        <v>1108.06</v>
      </c>
      <c r="I23" s="144">
        <v>1312.23</v>
      </c>
      <c r="J23" s="144">
        <v>1523.23</v>
      </c>
      <c r="K23" s="122">
        <v>1750</v>
      </c>
      <c r="L23" s="144">
        <v>1414.28</v>
      </c>
      <c r="M23" s="1081">
        <v>1650</v>
      </c>
      <c r="N23" s="1082">
        <v>197.57</v>
      </c>
      <c r="O23" s="1081">
        <v>1650</v>
      </c>
      <c r="P23" s="954"/>
      <c r="Q23" s="738"/>
      <c r="S23" s="738"/>
    </row>
    <row r="24" spans="1:21" x14ac:dyDescent="0.25">
      <c r="A24" s="881" t="s">
        <v>63</v>
      </c>
      <c r="B24" s="12" t="s">
        <v>75</v>
      </c>
      <c r="C24" s="13">
        <v>347.6</v>
      </c>
      <c r="D24" s="13">
        <v>178.4</v>
      </c>
      <c r="E24" s="13">
        <v>211.9</v>
      </c>
      <c r="F24" s="13">
        <v>430.4</v>
      </c>
      <c r="G24" s="13">
        <v>240.8</v>
      </c>
      <c r="H24" s="13">
        <v>293.60000000000002</v>
      </c>
      <c r="I24" s="144">
        <v>233.4</v>
      </c>
      <c r="J24" s="144">
        <v>185.25</v>
      </c>
      <c r="K24" s="122">
        <v>500</v>
      </c>
      <c r="L24" s="144">
        <v>344</v>
      </c>
      <c r="M24" s="1081">
        <v>600</v>
      </c>
      <c r="N24" s="1082">
        <v>109.2</v>
      </c>
      <c r="O24" s="1081">
        <v>600</v>
      </c>
      <c r="P24" s="955"/>
      <c r="Q24" s="738"/>
      <c r="S24" s="738"/>
    </row>
    <row r="25" spans="1:21" x14ac:dyDescent="0.25">
      <c r="A25" s="881" t="s">
        <v>696</v>
      </c>
      <c r="B25" s="12" t="s">
        <v>697</v>
      </c>
      <c r="C25" s="37">
        <v>103</v>
      </c>
      <c r="D25" s="13">
        <v>98</v>
      </c>
      <c r="E25" s="13">
        <v>140</v>
      </c>
      <c r="F25" s="13">
        <v>105</v>
      </c>
      <c r="G25" s="13">
        <v>70</v>
      </c>
      <c r="H25" s="13">
        <v>95</v>
      </c>
      <c r="I25" s="144">
        <v>104</v>
      </c>
      <c r="J25" s="144">
        <v>111</v>
      </c>
      <c r="K25" s="122">
        <v>150</v>
      </c>
      <c r="L25" s="144">
        <v>57.5</v>
      </c>
      <c r="M25" s="1081">
        <v>150</v>
      </c>
      <c r="N25" s="1082"/>
      <c r="O25" s="1081">
        <v>150</v>
      </c>
      <c r="P25" s="955"/>
      <c r="Q25" s="738"/>
      <c r="S25" s="738"/>
    </row>
    <row r="26" spans="1:21" hidden="1" x14ac:dyDescent="0.25">
      <c r="A26" s="881" t="s">
        <v>973</v>
      </c>
      <c r="B26" s="12" t="s">
        <v>974</v>
      </c>
      <c r="C26" s="37"/>
      <c r="D26" s="13"/>
      <c r="E26" s="13"/>
      <c r="F26" s="13">
        <v>358</v>
      </c>
      <c r="G26" s="13"/>
      <c r="H26" s="13"/>
      <c r="I26" s="144"/>
      <c r="J26" s="144"/>
      <c r="K26" s="122"/>
      <c r="L26" s="233"/>
      <c r="M26" s="1083"/>
      <c r="N26" s="1084"/>
      <c r="O26" s="1083"/>
      <c r="P26" s="73"/>
      <c r="Q26" s="738"/>
      <c r="S26" s="738"/>
    </row>
    <row r="27" spans="1:21" x14ac:dyDescent="0.25">
      <c r="A27" s="881" t="s">
        <v>17</v>
      </c>
      <c r="B27" s="12" t="s">
        <v>18</v>
      </c>
      <c r="C27" s="37">
        <v>113.6</v>
      </c>
      <c r="D27" s="13">
        <v>129</v>
      </c>
      <c r="E27" s="13">
        <v>138.1</v>
      </c>
      <c r="F27" s="13">
        <v>181.2</v>
      </c>
      <c r="G27" s="13">
        <v>193.2</v>
      </c>
      <c r="H27" s="13">
        <v>229.2</v>
      </c>
      <c r="I27" s="144">
        <v>255.2</v>
      </c>
      <c r="J27" s="144">
        <v>247.5</v>
      </c>
      <c r="K27" s="122">
        <v>300</v>
      </c>
      <c r="L27" s="233">
        <v>250</v>
      </c>
      <c r="M27" s="1081">
        <v>350</v>
      </c>
      <c r="N27" s="1084">
        <v>137.4</v>
      </c>
      <c r="O27" s="1081">
        <v>350</v>
      </c>
      <c r="P27" s="955"/>
      <c r="Q27" s="738"/>
      <c r="S27" s="738"/>
      <c r="U27" s="753"/>
    </row>
    <row r="28" spans="1:21" x14ac:dyDescent="0.25">
      <c r="A28" s="881" t="s">
        <v>64</v>
      </c>
      <c r="B28" s="12" t="s">
        <v>76</v>
      </c>
      <c r="C28" s="37">
        <v>455.4</v>
      </c>
      <c r="D28" s="13">
        <v>588</v>
      </c>
      <c r="E28" s="13">
        <v>582.35</v>
      </c>
      <c r="F28" s="13">
        <v>863.6</v>
      </c>
      <c r="G28" s="13">
        <v>693.2</v>
      </c>
      <c r="H28" s="13">
        <v>718</v>
      </c>
      <c r="I28" s="144">
        <v>1037.1500000000001</v>
      </c>
      <c r="J28" s="144">
        <v>929.5</v>
      </c>
      <c r="K28" s="122">
        <v>2000</v>
      </c>
      <c r="L28" s="233">
        <v>735.25</v>
      </c>
      <c r="M28" s="1081">
        <v>1000</v>
      </c>
      <c r="N28" s="1084">
        <v>330.8</v>
      </c>
      <c r="O28" s="1081">
        <v>1000</v>
      </c>
      <c r="P28" s="955"/>
      <c r="Q28" s="738"/>
      <c r="S28" s="738"/>
    </row>
    <row r="29" spans="1:21" x14ac:dyDescent="0.25">
      <c r="A29" s="881" t="s">
        <v>65</v>
      </c>
      <c r="B29" s="12" t="s">
        <v>81</v>
      </c>
      <c r="C29" s="37">
        <v>41.4</v>
      </c>
      <c r="D29" s="13">
        <v>0</v>
      </c>
      <c r="E29" s="13"/>
      <c r="F29" s="13"/>
      <c r="G29" s="13"/>
      <c r="H29" s="13"/>
      <c r="I29" s="144">
        <v>0</v>
      </c>
      <c r="J29" s="144"/>
      <c r="K29" s="122">
        <v>95</v>
      </c>
      <c r="L29" s="233"/>
      <c r="M29" s="1081">
        <v>100</v>
      </c>
      <c r="N29" s="1084"/>
      <c r="O29" s="1081">
        <v>0</v>
      </c>
      <c r="P29" s="955"/>
      <c r="Q29" s="738"/>
      <c r="S29" s="738"/>
    </row>
    <row r="30" spans="1:21" x14ac:dyDescent="0.25">
      <c r="A30" s="881" t="s">
        <v>66</v>
      </c>
      <c r="B30" s="12" t="s">
        <v>82</v>
      </c>
      <c r="C30" s="37">
        <v>157</v>
      </c>
      <c r="D30" s="13">
        <v>124</v>
      </c>
      <c r="E30" s="13">
        <v>217</v>
      </c>
      <c r="F30" s="13">
        <v>276</v>
      </c>
      <c r="G30" s="13">
        <v>287</v>
      </c>
      <c r="H30" s="13">
        <v>215.4</v>
      </c>
      <c r="I30" s="144">
        <v>202.4</v>
      </c>
      <c r="J30" s="144">
        <v>169.5</v>
      </c>
      <c r="K30" s="122">
        <v>500</v>
      </c>
      <c r="L30" s="233">
        <v>132</v>
      </c>
      <c r="M30" s="1081">
        <v>250</v>
      </c>
      <c r="N30" s="1084">
        <v>106.8</v>
      </c>
      <c r="O30" s="1081">
        <v>250</v>
      </c>
      <c r="P30" s="955"/>
      <c r="Q30" s="738"/>
      <c r="S30" s="738"/>
    </row>
    <row r="31" spans="1:21" x14ac:dyDescent="0.25">
      <c r="A31" s="881" t="s">
        <v>67</v>
      </c>
      <c r="B31" s="12" t="s">
        <v>83</v>
      </c>
      <c r="C31" s="13">
        <v>350.26</v>
      </c>
      <c r="D31" s="13">
        <v>236.36</v>
      </c>
      <c r="E31" s="13">
        <v>243.42</v>
      </c>
      <c r="F31" s="13">
        <v>629.28</v>
      </c>
      <c r="G31" s="13">
        <v>424</v>
      </c>
      <c r="H31" s="13">
        <v>670.68</v>
      </c>
      <c r="I31" s="144">
        <v>1499.88</v>
      </c>
      <c r="J31" s="144">
        <v>2143.5</v>
      </c>
      <c r="K31" s="122">
        <v>2500</v>
      </c>
      <c r="L31" s="233">
        <v>742.56</v>
      </c>
      <c r="M31" s="1081">
        <v>1500</v>
      </c>
      <c r="N31" s="1084">
        <v>1040.52</v>
      </c>
      <c r="O31" s="1081">
        <v>1500</v>
      </c>
      <c r="P31" s="954"/>
      <c r="Q31" s="738"/>
      <c r="S31" s="738"/>
    </row>
    <row r="32" spans="1:21" x14ac:dyDescent="0.25">
      <c r="A32" s="881" t="s">
        <v>28</v>
      </c>
      <c r="B32" s="12" t="s">
        <v>29</v>
      </c>
      <c r="C32" s="13">
        <v>72</v>
      </c>
      <c r="D32" s="13">
        <v>72</v>
      </c>
      <c r="E32" s="13">
        <v>72</v>
      </c>
      <c r="F32" s="13">
        <v>123.12</v>
      </c>
      <c r="G32" s="13">
        <v>132</v>
      </c>
      <c r="H32" s="13">
        <v>82.8</v>
      </c>
      <c r="I32" s="144">
        <v>124</v>
      </c>
      <c r="J32" s="144">
        <v>124</v>
      </c>
      <c r="K32" s="122">
        <v>250</v>
      </c>
      <c r="L32" s="233"/>
      <c r="M32" s="1081">
        <v>250</v>
      </c>
      <c r="N32" s="1084"/>
      <c r="O32" s="1081">
        <v>250</v>
      </c>
      <c r="P32" s="954"/>
      <c r="Q32" s="738"/>
      <c r="S32" s="738"/>
    </row>
    <row r="33" spans="1:19" hidden="1" x14ac:dyDescent="0.25">
      <c r="A33" s="881" t="s">
        <v>1067</v>
      </c>
      <c r="B33" s="12" t="s">
        <v>1068</v>
      </c>
      <c r="C33" s="13"/>
      <c r="D33" s="13"/>
      <c r="E33" s="13"/>
      <c r="F33" s="13">
        <v>36.770000000000003</v>
      </c>
      <c r="G33" s="13"/>
      <c r="H33" s="13"/>
      <c r="I33" s="144"/>
      <c r="J33" s="144"/>
      <c r="K33" s="122"/>
      <c r="L33" s="233"/>
      <c r="M33" s="1081"/>
      <c r="N33" s="1084"/>
      <c r="O33" s="1081"/>
      <c r="P33" s="954"/>
      <c r="Q33" s="738"/>
      <c r="S33" s="738"/>
    </row>
    <row r="34" spans="1:19" x14ac:dyDescent="0.25">
      <c r="A34" s="881" t="s">
        <v>19</v>
      </c>
      <c r="B34" s="12" t="s">
        <v>20</v>
      </c>
      <c r="C34" s="13">
        <v>216</v>
      </c>
      <c r="D34" s="13">
        <v>248.8</v>
      </c>
      <c r="E34" s="13">
        <v>298.56</v>
      </c>
      <c r="F34" s="13">
        <v>328.32</v>
      </c>
      <c r="G34" s="13">
        <v>496</v>
      </c>
      <c r="H34" s="13">
        <v>331.2</v>
      </c>
      <c r="I34" s="144">
        <v>268.83999999999997</v>
      </c>
      <c r="J34" s="144">
        <v>571.6</v>
      </c>
      <c r="K34" s="122">
        <v>1500</v>
      </c>
      <c r="L34" s="144">
        <v>611.52</v>
      </c>
      <c r="M34" s="1081">
        <v>700</v>
      </c>
      <c r="N34" s="1082">
        <v>273.42</v>
      </c>
      <c r="O34" s="1081">
        <v>700</v>
      </c>
      <c r="P34" s="955"/>
      <c r="Q34" s="738"/>
      <c r="S34" s="738"/>
    </row>
    <row r="35" spans="1:19" x14ac:dyDescent="0.25">
      <c r="A35" s="881" t="s">
        <v>68</v>
      </c>
      <c r="B35" s="12" t="s">
        <v>681</v>
      </c>
      <c r="C35" s="13">
        <v>744</v>
      </c>
      <c r="D35" s="13">
        <v>696.64</v>
      </c>
      <c r="E35" s="13">
        <v>646.88</v>
      </c>
      <c r="F35" s="13">
        <v>1114.92</v>
      </c>
      <c r="G35" s="13">
        <v>1096</v>
      </c>
      <c r="H35" s="13">
        <v>347.76</v>
      </c>
      <c r="I35" s="144">
        <v>1825.34</v>
      </c>
      <c r="J35" s="144">
        <v>1557.6</v>
      </c>
      <c r="K35" s="122">
        <v>3000</v>
      </c>
      <c r="L35" s="144">
        <v>2999.36</v>
      </c>
      <c r="M35" s="1081">
        <v>3500</v>
      </c>
      <c r="N35" s="1082">
        <v>303.8</v>
      </c>
      <c r="O35" s="1081">
        <v>3500</v>
      </c>
      <c r="P35" s="954"/>
      <c r="Q35" s="738"/>
      <c r="S35" s="738"/>
    </row>
    <row r="36" spans="1:19" hidden="1" x14ac:dyDescent="0.25">
      <c r="A36" s="881" t="s">
        <v>1065</v>
      </c>
      <c r="B36" s="12" t="s">
        <v>1066</v>
      </c>
      <c r="C36" s="13"/>
      <c r="D36" s="13"/>
      <c r="E36" s="13"/>
      <c r="F36" s="13"/>
      <c r="G36" s="13">
        <v>120</v>
      </c>
      <c r="H36" s="13"/>
      <c r="I36" s="144"/>
      <c r="J36" s="144"/>
      <c r="K36" s="122"/>
      <c r="L36" s="144"/>
      <c r="M36" s="1081"/>
      <c r="N36" s="1082"/>
      <c r="O36" s="1081"/>
      <c r="P36" s="954"/>
      <c r="Q36" s="738"/>
      <c r="S36" s="738"/>
    </row>
    <row r="37" spans="1:19" x14ac:dyDescent="0.25">
      <c r="A37" s="881" t="s">
        <v>69</v>
      </c>
      <c r="B37" s="12" t="s">
        <v>84</v>
      </c>
      <c r="C37" s="13">
        <v>72</v>
      </c>
      <c r="D37" s="13">
        <v>72</v>
      </c>
      <c r="E37" s="13">
        <v>72</v>
      </c>
      <c r="F37" s="13">
        <v>72</v>
      </c>
      <c r="G37" s="13">
        <v>208</v>
      </c>
      <c r="H37" s="13">
        <v>115.92</v>
      </c>
      <c r="I37" s="144">
        <v>124</v>
      </c>
      <c r="J37" s="144">
        <v>124</v>
      </c>
      <c r="K37" s="122">
        <v>400</v>
      </c>
      <c r="L37" s="144">
        <v>127</v>
      </c>
      <c r="M37" s="1081">
        <v>200</v>
      </c>
      <c r="N37" s="1082">
        <v>66.23</v>
      </c>
      <c r="O37" s="1081">
        <v>200</v>
      </c>
      <c r="P37" s="954"/>
      <c r="Q37" s="738"/>
      <c r="S37" s="738"/>
    </row>
    <row r="38" spans="1:19" ht="13.8" thickBot="1" x14ac:dyDescent="0.3">
      <c r="A38" s="881"/>
      <c r="B38" s="12"/>
      <c r="C38" s="15"/>
      <c r="D38" s="15"/>
      <c r="E38" s="15"/>
      <c r="F38" s="15"/>
      <c r="G38" s="15"/>
      <c r="H38" s="15"/>
      <c r="I38" s="15"/>
      <c r="J38" s="15"/>
      <c r="K38" s="16"/>
      <c r="L38" s="15"/>
      <c r="M38" s="16"/>
      <c r="N38" s="15"/>
      <c r="O38" s="16"/>
      <c r="P38" s="16"/>
      <c r="Q38" s="738"/>
      <c r="S38" s="738"/>
    </row>
    <row r="39" spans="1:19" x14ac:dyDescent="0.25">
      <c r="A39" s="881"/>
      <c r="B39" s="17" t="s">
        <v>449</v>
      </c>
      <c r="C39" s="18">
        <f t="shared" ref="C39:I39" si="0">SUM(C9:C38)</f>
        <v>89938.37</v>
      </c>
      <c r="D39" s="18">
        <f t="shared" si="0"/>
        <v>103744.03</v>
      </c>
      <c r="E39" s="18">
        <f t="shared" si="0"/>
        <v>94949.29</v>
      </c>
      <c r="F39" s="18">
        <f t="shared" si="0"/>
        <v>93004.470000000016</v>
      </c>
      <c r="G39" s="18">
        <f t="shared" si="0"/>
        <v>86631.79</v>
      </c>
      <c r="H39" s="18">
        <f t="shared" si="0"/>
        <v>88374.909999999974</v>
      </c>
      <c r="I39" s="18">
        <f t="shared" si="0"/>
        <v>92714.789999999964</v>
      </c>
      <c r="J39" s="18">
        <f t="shared" ref="J39" si="1">SUM(J9:J38)</f>
        <v>77501.360000000015</v>
      </c>
      <c r="K39" s="36">
        <f>SUM(K9:K38)</f>
        <v>106320</v>
      </c>
      <c r="L39" s="18">
        <f t="shared" ref="L39:M39" si="2">SUM(L9:L38)</f>
        <v>85460.26</v>
      </c>
      <c r="M39" s="36">
        <f t="shared" si="2"/>
        <v>109846</v>
      </c>
      <c r="N39" s="18">
        <f>SUM(N10:N38)</f>
        <v>39764.310000000012</v>
      </c>
      <c r="O39" s="36">
        <f>SUM(O9:O38)</f>
        <v>112782</v>
      </c>
      <c r="P39" s="36"/>
      <c r="Q39" s="738"/>
      <c r="S39" s="738"/>
    </row>
    <row r="40" spans="1:19" x14ac:dyDescent="0.25">
      <c r="A40" s="881"/>
      <c r="B40" s="12"/>
      <c r="C40" s="13"/>
      <c r="D40" s="13"/>
      <c r="E40" s="13"/>
      <c r="F40" s="13"/>
      <c r="G40" s="13"/>
      <c r="H40" s="13"/>
      <c r="I40" s="13"/>
      <c r="J40" s="13"/>
      <c r="K40" s="14"/>
      <c r="L40" s="13"/>
      <c r="M40" s="14"/>
      <c r="N40" s="13"/>
      <c r="O40" s="14"/>
      <c r="P40" s="14"/>
    </row>
    <row r="41" spans="1:19" ht="13.8" thickBot="1" x14ac:dyDescent="0.3">
      <c r="A41" s="882"/>
      <c r="B41" s="20" t="s">
        <v>58</v>
      </c>
      <c r="C41" s="21">
        <f t="shared" ref="C41:O41" si="3">+C39</f>
        <v>89938.37</v>
      </c>
      <c r="D41" s="21">
        <f t="shared" si="3"/>
        <v>103744.03</v>
      </c>
      <c r="E41" s="21">
        <f>+E39</f>
        <v>94949.29</v>
      </c>
      <c r="F41" s="21">
        <f>+F39</f>
        <v>93004.470000000016</v>
      </c>
      <c r="G41" s="21">
        <f>+G39</f>
        <v>86631.79</v>
      </c>
      <c r="H41" s="21">
        <f t="shared" si="3"/>
        <v>88374.909999999974</v>
      </c>
      <c r="I41" s="21">
        <f t="shared" si="3"/>
        <v>92714.789999999964</v>
      </c>
      <c r="J41" s="21">
        <f t="shared" ref="J41" si="4">+J39</f>
        <v>77501.360000000015</v>
      </c>
      <c r="K41" s="22">
        <f t="shared" ref="K41:M41" si="5">+K39</f>
        <v>106320</v>
      </c>
      <c r="L41" s="21">
        <f t="shared" si="5"/>
        <v>85460.26</v>
      </c>
      <c r="M41" s="22">
        <f t="shared" si="5"/>
        <v>109846</v>
      </c>
      <c r="N41" s="21">
        <f t="shared" si="3"/>
        <v>39764.310000000012</v>
      </c>
      <c r="O41" s="22">
        <f t="shared" si="3"/>
        <v>112782</v>
      </c>
      <c r="P41" s="22">
        <f>+O41</f>
        <v>112782</v>
      </c>
    </row>
    <row r="42" spans="1:19" ht="13.8" thickTop="1" x14ac:dyDescent="0.25">
      <c r="A42" s="905"/>
      <c r="B42" s="83"/>
      <c r="C42" s="24"/>
      <c r="D42" s="24"/>
      <c r="E42" s="24"/>
      <c r="F42" s="24"/>
      <c r="G42" s="24"/>
      <c r="H42" s="24"/>
      <c r="I42" s="25"/>
      <c r="J42" s="25"/>
      <c r="K42" s="25"/>
      <c r="L42" s="25"/>
      <c r="M42" s="25"/>
      <c r="N42" s="24"/>
      <c r="O42" s="25"/>
      <c r="P42" s="25"/>
    </row>
    <row r="43" spans="1:19" x14ac:dyDescent="0.25">
      <c r="A43" s="905"/>
      <c r="B43" s="26"/>
      <c r="C43" s="24"/>
      <c r="D43" s="24"/>
      <c r="E43" s="24"/>
      <c r="F43" s="24"/>
      <c r="G43" s="24"/>
      <c r="H43" s="24"/>
      <c r="I43" s="25"/>
      <c r="J43" s="25"/>
      <c r="K43" s="25"/>
      <c r="L43" s="25"/>
      <c r="M43" s="25"/>
      <c r="N43" s="24"/>
      <c r="O43" s="25"/>
      <c r="P43" s="25"/>
    </row>
    <row r="44" spans="1:19" ht="15.6" x14ac:dyDescent="0.3">
      <c r="A44" s="963"/>
      <c r="B44" s="376"/>
      <c r="C44" s="377"/>
      <c r="D44" s="377"/>
      <c r="E44" s="377"/>
      <c r="F44" s="377"/>
      <c r="G44" s="377"/>
      <c r="H44" s="377"/>
      <c r="I44" s="376"/>
      <c r="J44" s="376"/>
      <c r="K44" s="376"/>
      <c r="L44" s="376"/>
      <c r="M44" s="376"/>
      <c r="N44" s="376"/>
      <c r="O44" s="376"/>
      <c r="P44" s="376"/>
    </row>
    <row r="45" spans="1:19" ht="15.6" x14ac:dyDescent="0.3">
      <c r="A45" s="888"/>
      <c r="B45" s="376"/>
      <c r="C45" s="377"/>
      <c r="D45" s="377"/>
      <c r="E45" s="377"/>
      <c r="F45" s="377"/>
      <c r="G45" s="377"/>
      <c r="H45" s="377"/>
      <c r="I45" s="376"/>
      <c r="J45" s="376"/>
      <c r="K45" s="376"/>
      <c r="L45" s="376"/>
      <c r="M45" s="376"/>
      <c r="N45" s="376"/>
      <c r="O45" s="376"/>
      <c r="P45" s="376"/>
    </row>
    <row r="46" spans="1:19" ht="16.2" thickBot="1" x14ac:dyDescent="0.35">
      <c r="A46" s="876"/>
      <c r="B46" s="376"/>
      <c r="C46" s="377"/>
      <c r="D46" s="377"/>
      <c r="E46" s="377"/>
      <c r="F46" s="377"/>
      <c r="G46" s="377"/>
      <c r="H46" s="377"/>
      <c r="I46" s="376"/>
      <c r="J46" s="376"/>
      <c r="K46" s="376"/>
      <c r="L46" s="376"/>
      <c r="M46" s="376"/>
      <c r="N46" s="376"/>
      <c r="O46" s="376"/>
      <c r="P46" s="376"/>
    </row>
    <row r="47" spans="1:19" ht="13.8" thickTop="1" x14ac:dyDescent="0.25">
      <c r="A47" s="893"/>
      <c r="B47" s="452"/>
      <c r="C47" s="453" t="s">
        <v>127</v>
      </c>
      <c r="D47" s="454" t="s">
        <v>127</v>
      </c>
      <c r="E47" s="454" t="s">
        <v>127</v>
      </c>
      <c r="K47" s="455" t="s">
        <v>547</v>
      </c>
      <c r="L47" s="456" t="s">
        <v>9</v>
      </c>
      <c r="M47" s="457" t="s">
        <v>1073</v>
      </c>
      <c r="N47" s="456" t="s">
        <v>686</v>
      </c>
      <c r="O47" s="458"/>
      <c r="P47" s="457"/>
    </row>
    <row r="48" spans="1:19" ht="13.8" thickBot="1" x14ac:dyDescent="0.3">
      <c r="A48" s="894" t="s">
        <v>128</v>
      </c>
      <c r="B48" s="459"/>
      <c r="C48" s="460" t="s">
        <v>347</v>
      </c>
      <c r="D48" s="460" t="s">
        <v>722</v>
      </c>
      <c r="E48" s="461" t="s">
        <v>737</v>
      </c>
      <c r="K48" s="462" t="s">
        <v>909</v>
      </c>
      <c r="L48" s="462" t="s">
        <v>910</v>
      </c>
      <c r="M48" s="461" t="s">
        <v>1075</v>
      </c>
      <c r="N48" s="463" t="s">
        <v>1075</v>
      </c>
      <c r="O48" s="464" t="s">
        <v>1074</v>
      </c>
      <c r="P48" s="462"/>
    </row>
    <row r="49" spans="1:16" ht="13.8" thickTop="1" x14ac:dyDescent="0.25">
      <c r="A49" s="907" t="s">
        <v>60</v>
      </c>
      <c r="B49" s="472" t="s">
        <v>70</v>
      </c>
      <c r="C49" s="476">
        <v>17860.46</v>
      </c>
      <c r="D49" s="476">
        <v>18618.21</v>
      </c>
      <c r="E49" s="476">
        <v>18675.71</v>
      </c>
      <c r="K49" s="475">
        <f>+M10</f>
        <v>20600</v>
      </c>
      <c r="L49" s="497">
        <f>+O10</f>
        <v>21424</v>
      </c>
      <c r="M49" s="471">
        <f t="shared" ref="M49:M73" si="6">+L49-K49</f>
        <v>824</v>
      </c>
      <c r="N49" s="477">
        <f t="shared" ref="N49:N73" si="7">IF(K49+L49&lt;&gt;0,IF(K49&lt;&gt;0,IF(M49&lt;&gt;0,ROUND((+M49/K49),4),""),1),"")</f>
        <v>0.04</v>
      </c>
      <c r="O49" s="470" t="s">
        <v>1749</v>
      </c>
      <c r="P49" s="471"/>
    </row>
    <row r="50" spans="1:16" x14ac:dyDescent="0.25">
      <c r="A50" s="907" t="s">
        <v>26</v>
      </c>
      <c r="B50" s="472" t="s">
        <v>27</v>
      </c>
      <c r="C50" s="476">
        <v>418.21</v>
      </c>
      <c r="D50" s="476">
        <v>455.51</v>
      </c>
      <c r="E50" s="476">
        <v>520.94000000000005</v>
      </c>
      <c r="K50" s="475">
        <f>+M11</f>
        <v>650</v>
      </c>
      <c r="L50" s="497">
        <f>+O11</f>
        <v>676</v>
      </c>
      <c r="M50" s="471">
        <f t="shared" si="6"/>
        <v>26</v>
      </c>
      <c r="N50" s="477">
        <f t="shared" si="7"/>
        <v>0.04</v>
      </c>
      <c r="O50" s="470" t="s">
        <v>1749</v>
      </c>
      <c r="P50" s="471"/>
    </row>
    <row r="51" spans="1:16" x14ac:dyDescent="0.25">
      <c r="A51" s="907" t="s">
        <v>15</v>
      </c>
      <c r="B51" s="472" t="s">
        <v>16</v>
      </c>
      <c r="C51" s="476">
        <v>30066.65</v>
      </c>
      <c r="D51" s="476">
        <v>32695.66</v>
      </c>
      <c r="E51" s="476">
        <v>29432.98</v>
      </c>
      <c r="K51" s="475">
        <f t="shared" ref="K51:K58" si="8">+M13</f>
        <v>21000</v>
      </c>
      <c r="L51" s="497">
        <f t="shared" ref="L51:L58" si="9">+O13</f>
        <v>21840</v>
      </c>
      <c r="M51" s="471">
        <f t="shared" si="6"/>
        <v>840</v>
      </c>
      <c r="N51" s="477">
        <f t="shared" si="7"/>
        <v>0.04</v>
      </c>
      <c r="O51" s="470" t="s">
        <v>1749</v>
      </c>
      <c r="P51" s="471"/>
    </row>
    <row r="52" spans="1:16" x14ac:dyDescent="0.25">
      <c r="A52" s="907" t="s">
        <v>59</v>
      </c>
      <c r="B52" s="472" t="s">
        <v>71</v>
      </c>
      <c r="C52" s="476">
        <v>6158.88</v>
      </c>
      <c r="D52" s="476">
        <v>6302.72</v>
      </c>
      <c r="E52" s="476">
        <v>6068.61</v>
      </c>
      <c r="K52" s="475">
        <f t="shared" si="8"/>
        <v>25446</v>
      </c>
      <c r="L52" s="497">
        <f t="shared" si="9"/>
        <v>26464</v>
      </c>
      <c r="M52" s="471">
        <f t="shared" si="6"/>
        <v>1018</v>
      </c>
      <c r="N52" s="477">
        <f t="shared" si="7"/>
        <v>0.04</v>
      </c>
      <c r="O52" s="470" t="s">
        <v>1749</v>
      </c>
      <c r="P52" s="471"/>
    </row>
    <row r="53" spans="1:16" x14ac:dyDescent="0.25">
      <c r="A53" s="907" t="s">
        <v>616</v>
      </c>
      <c r="B53" s="472" t="s">
        <v>797</v>
      </c>
      <c r="C53" s="476">
        <v>3735.02</v>
      </c>
      <c r="D53" s="476">
        <v>3841.24</v>
      </c>
      <c r="E53" s="476">
        <v>3791.57</v>
      </c>
      <c r="K53" s="475">
        <f t="shared" si="8"/>
        <v>4500</v>
      </c>
      <c r="L53" s="497">
        <f t="shared" si="9"/>
        <v>4680</v>
      </c>
      <c r="M53" s="471">
        <f t="shared" si="6"/>
        <v>180</v>
      </c>
      <c r="N53" s="477">
        <f t="shared" si="7"/>
        <v>0.04</v>
      </c>
      <c r="O53" s="470" t="s">
        <v>1749</v>
      </c>
      <c r="P53" s="471"/>
    </row>
    <row r="54" spans="1:16" x14ac:dyDescent="0.25">
      <c r="A54" s="907" t="s">
        <v>24</v>
      </c>
      <c r="B54" s="472" t="s">
        <v>72</v>
      </c>
      <c r="C54" s="476">
        <v>2394.5</v>
      </c>
      <c r="D54" s="476">
        <v>2061.5700000000002</v>
      </c>
      <c r="E54" s="476">
        <v>1032.4000000000001</v>
      </c>
      <c r="K54" s="475">
        <f t="shared" si="8"/>
        <v>700</v>
      </c>
      <c r="L54" s="497">
        <f t="shared" si="9"/>
        <v>728</v>
      </c>
      <c r="M54" s="471">
        <f t="shared" si="6"/>
        <v>28</v>
      </c>
      <c r="N54" s="477">
        <f t="shared" si="7"/>
        <v>0.04</v>
      </c>
      <c r="O54" s="470" t="s">
        <v>1749</v>
      </c>
      <c r="P54" s="471"/>
    </row>
    <row r="55" spans="1:16" x14ac:dyDescent="0.25">
      <c r="A55" s="907" t="s">
        <v>25</v>
      </c>
      <c r="B55" s="472" t="s">
        <v>73</v>
      </c>
      <c r="C55" s="476">
        <v>2549.33</v>
      </c>
      <c r="D55" s="476">
        <v>2900.08</v>
      </c>
      <c r="E55" s="476">
        <v>2577.86</v>
      </c>
      <c r="K55" s="475">
        <f t="shared" si="8"/>
        <v>3000</v>
      </c>
      <c r="L55" s="497">
        <f t="shared" si="9"/>
        <v>3120</v>
      </c>
      <c r="M55" s="471">
        <f t="shared" si="6"/>
        <v>120</v>
      </c>
      <c r="N55" s="477">
        <f t="shared" si="7"/>
        <v>0.04</v>
      </c>
      <c r="O55" s="470" t="s">
        <v>1749</v>
      </c>
      <c r="P55" s="471"/>
    </row>
    <row r="56" spans="1:16" x14ac:dyDescent="0.25">
      <c r="A56" s="907" t="s">
        <v>61</v>
      </c>
      <c r="B56" s="472" t="s">
        <v>74</v>
      </c>
      <c r="C56" s="476">
        <v>14145.02</v>
      </c>
      <c r="D56" s="476">
        <v>21632.63</v>
      </c>
      <c r="E56" s="476">
        <v>18865.080000000002</v>
      </c>
      <c r="K56" s="475">
        <f t="shared" si="8"/>
        <v>13000</v>
      </c>
      <c r="L56" s="497">
        <f t="shared" si="9"/>
        <v>13000</v>
      </c>
      <c r="M56" s="471">
        <f t="shared" si="6"/>
        <v>0</v>
      </c>
      <c r="N56" s="477" t="str">
        <f t="shared" si="7"/>
        <v/>
      </c>
      <c r="O56" s="470"/>
      <c r="P56" s="471"/>
    </row>
    <row r="57" spans="1:16" x14ac:dyDescent="0.25">
      <c r="A57" s="907" t="s">
        <v>695</v>
      </c>
      <c r="B57" s="472" t="s">
        <v>358</v>
      </c>
      <c r="C57" s="476">
        <v>8111.96</v>
      </c>
      <c r="D57" s="476">
        <v>10821.64</v>
      </c>
      <c r="E57" s="476">
        <v>9566.7000000000007</v>
      </c>
      <c r="K57" s="475">
        <f t="shared" si="8"/>
        <v>10000</v>
      </c>
      <c r="L57" s="497">
        <f t="shared" si="9"/>
        <v>10000</v>
      </c>
      <c r="M57" s="471">
        <f t="shared" si="6"/>
        <v>0</v>
      </c>
      <c r="N57" s="477" t="str">
        <f t="shared" si="7"/>
        <v/>
      </c>
      <c r="O57" s="470"/>
      <c r="P57" s="471"/>
    </row>
    <row r="58" spans="1:16" x14ac:dyDescent="0.25">
      <c r="A58" s="907" t="s">
        <v>10</v>
      </c>
      <c r="B58" s="472" t="s">
        <v>11</v>
      </c>
      <c r="C58" s="476"/>
      <c r="D58" s="476">
        <v>0</v>
      </c>
      <c r="E58" s="476"/>
      <c r="K58" s="475">
        <f t="shared" si="8"/>
        <v>0</v>
      </c>
      <c r="L58" s="497">
        <f t="shared" si="9"/>
        <v>0</v>
      </c>
      <c r="M58" s="471">
        <f t="shared" si="6"/>
        <v>0</v>
      </c>
      <c r="N58" s="477" t="str">
        <f t="shared" si="7"/>
        <v/>
      </c>
      <c r="O58" s="470"/>
      <c r="P58" s="471"/>
    </row>
    <row r="59" spans="1:16" x14ac:dyDescent="0.25">
      <c r="A59" s="907" t="s">
        <v>13</v>
      </c>
      <c r="B59" s="472" t="s">
        <v>359</v>
      </c>
      <c r="C59" s="476">
        <v>619.48</v>
      </c>
      <c r="D59" s="476">
        <v>657.3</v>
      </c>
      <c r="E59" s="476">
        <v>614.69000000000005</v>
      </c>
      <c r="K59" s="475">
        <f t="shared" ref="K59:K72" si="10">+M22</f>
        <v>700</v>
      </c>
      <c r="L59" s="497">
        <f t="shared" ref="L59:L69" si="11">+O22</f>
        <v>700</v>
      </c>
      <c r="M59" s="471">
        <f t="shared" si="6"/>
        <v>0</v>
      </c>
      <c r="N59" s="477" t="str">
        <f t="shared" si="7"/>
        <v/>
      </c>
      <c r="O59" s="470"/>
      <c r="P59" s="471"/>
    </row>
    <row r="60" spans="1:16" x14ac:dyDescent="0.25">
      <c r="A60" s="907" t="s">
        <v>62</v>
      </c>
      <c r="B60" s="472" t="s">
        <v>785</v>
      </c>
      <c r="C60" s="476">
        <v>1206.5999999999999</v>
      </c>
      <c r="D60" s="476">
        <v>1314.27</v>
      </c>
      <c r="E60" s="476">
        <v>1180.54</v>
      </c>
      <c r="K60" s="475">
        <f t="shared" si="10"/>
        <v>1650</v>
      </c>
      <c r="L60" s="497">
        <f t="shared" si="11"/>
        <v>1650</v>
      </c>
      <c r="M60" s="471">
        <f t="shared" si="6"/>
        <v>0</v>
      </c>
      <c r="N60" s="477" t="str">
        <f t="shared" si="7"/>
        <v/>
      </c>
      <c r="O60" s="470"/>
      <c r="P60" s="471"/>
    </row>
    <row r="61" spans="1:16" x14ac:dyDescent="0.25">
      <c r="A61" s="907" t="s">
        <v>63</v>
      </c>
      <c r="B61" s="472" t="s">
        <v>75</v>
      </c>
      <c r="C61" s="476">
        <v>347.6</v>
      </c>
      <c r="D61" s="476">
        <v>178.4</v>
      </c>
      <c r="E61" s="476">
        <v>211.9</v>
      </c>
      <c r="K61" s="475">
        <f t="shared" si="10"/>
        <v>600</v>
      </c>
      <c r="L61" s="497">
        <f t="shared" si="11"/>
        <v>600</v>
      </c>
      <c r="M61" s="471">
        <f t="shared" si="6"/>
        <v>0</v>
      </c>
      <c r="N61" s="477" t="str">
        <f t="shared" si="7"/>
        <v/>
      </c>
      <c r="O61" s="470"/>
      <c r="P61" s="471"/>
    </row>
    <row r="62" spans="1:16" x14ac:dyDescent="0.25">
      <c r="A62" s="907" t="s">
        <v>696</v>
      </c>
      <c r="B62" s="472" t="s">
        <v>697</v>
      </c>
      <c r="C62" s="478">
        <v>103</v>
      </c>
      <c r="D62" s="476">
        <v>98</v>
      </c>
      <c r="E62" s="476">
        <v>140</v>
      </c>
      <c r="K62" s="475">
        <f t="shared" si="10"/>
        <v>150</v>
      </c>
      <c r="L62" s="497">
        <f t="shared" si="11"/>
        <v>150</v>
      </c>
      <c r="M62" s="471">
        <f t="shared" si="6"/>
        <v>0</v>
      </c>
      <c r="N62" s="477" t="str">
        <f t="shared" si="7"/>
        <v/>
      </c>
      <c r="O62" s="470"/>
      <c r="P62" s="471"/>
    </row>
    <row r="63" spans="1:16" x14ac:dyDescent="0.25">
      <c r="A63" s="907" t="s">
        <v>973</v>
      </c>
      <c r="B63" s="472" t="s">
        <v>974</v>
      </c>
      <c r="C63" s="478"/>
      <c r="D63" s="476"/>
      <c r="E63" s="476"/>
      <c r="K63" s="475">
        <f t="shared" si="10"/>
        <v>0</v>
      </c>
      <c r="L63" s="497">
        <f t="shared" si="11"/>
        <v>0</v>
      </c>
      <c r="M63" s="471">
        <f t="shared" si="6"/>
        <v>0</v>
      </c>
      <c r="N63" s="477" t="str">
        <f t="shared" si="7"/>
        <v/>
      </c>
      <c r="O63" s="470"/>
      <c r="P63" s="471"/>
    </row>
    <row r="64" spans="1:16" x14ac:dyDescent="0.25">
      <c r="A64" s="907" t="s">
        <v>17</v>
      </c>
      <c r="B64" s="472" t="s">
        <v>18</v>
      </c>
      <c r="C64" s="478">
        <v>113.6</v>
      </c>
      <c r="D64" s="476">
        <v>129</v>
      </c>
      <c r="E64" s="476">
        <v>138.1</v>
      </c>
      <c r="K64" s="475">
        <f t="shared" si="10"/>
        <v>350</v>
      </c>
      <c r="L64" s="497">
        <f t="shared" si="11"/>
        <v>350</v>
      </c>
      <c r="M64" s="471">
        <f t="shared" si="6"/>
        <v>0</v>
      </c>
      <c r="N64" s="477" t="str">
        <f t="shared" si="7"/>
        <v/>
      </c>
      <c r="O64" s="470"/>
      <c r="P64" s="471"/>
    </row>
    <row r="65" spans="1:16" x14ac:dyDescent="0.25">
      <c r="A65" s="907" t="s">
        <v>64</v>
      </c>
      <c r="B65" s="472" t="s">
        <v>76</v>
      </c>
      <c r="C65" s="478">
        <v>455.4</v>
      </c>
      <c r="D65" s="476">
        <v>588</v>
      </c>
      <c r="E65" s="476">
        <v>582.35</v>
      </c>
      <c r="K65" s="475">
        <f t="shared" si="10"/>
        <v>1000</v>
      </c>
      <c r="L65" s="497">
        <f t="shared" si="11"/>
        <v>1000</v>
      </c>
      <c r="M65" s="471">
        <f t="shared" si="6"/>
        <v>0</v>
      </c>
      <c r="N65" s="477" t="str">
        <f t="shared" si="7"/>
        <v/>
      </c>
      <c r="O65" s="470"/>
      <c r="P65" s="471"/>
    </row>
    <row r="66" spans="1:16" x14ac:dyDescent="0.25">
      <c r="A66" s="907" t="s">
        <v>65</v>
      </c>
      <c r="B66" s="472" t="s">
        <v>81</v>
      </c>
      <c r="C66" s="478">
        <v>41.4</v>
      </c>
      <c r="D66" s="476">
        <v>0</v>
      </c>
      <c r="E66" s="476"/>
      <c r="K66" s="475">
        <f t="shared" si="10"/>
        <v>100</v>
      </c>
      <c r="L66" s="497">
        <f t="shared" si="11"/>
        <v>0</v>
      </c>
      <c r="M66" s="471">
        <f t="shared" si="6"/>
        <v>-100</v>
      </c>
      <c r="N66" s="477">
        <f t="shared" si="7"/>
        <v>-1</v>
      </c>
      <c r="O66" s="470" t="s">
        <v>1750</v>
      </c>
      <c r="P66" s="471"/>
    </row>
    <row r="67" spans="1:16" x14ac:dyDescent="0.25">
      <c r="A67" s="907" t="s">
        <v>66</v>
      </c>
      <c r="B67" s="472" t="s">
        <v>82</v>
      </c>
      <c r="C67" s="478">
        <v>157</v>
      </c>
      <c r="D67" s="476">
        <v>124</v>
      </c>
      <c r="E67" s="476">
        <v>217</v>
      </c>
      <c r="K67" s="475">
        <f t="shared" si="10"/>
        <v>250</v>
      </c>
      <c r="L67" s="497">
        <f t="shared" si="11"/>
        <v>250</v>
      </c>
      <c r="M67" s="471">
        <f t="shared" si="6"/>
        <v>0</v>
      </c>
      <c r="N67" s="477" t="str">
        <f t="shared" si="7"/>
        <v/>
      </c>
      <c r="O67" s="470"/>
      <c r="P67" s="471"/>
    </row>
    <row r="68" spans="1:16" x14ac:dyDescent="0.25">
      <c r="A68" s="907" t="s">
        <v>67</v>
      </c>
      <c r="B68" s="472" t="s">
        <v>83</v>
      </c>
      <c r="C68" s="476">
        <v>350.26</v>
      </c>
      <c r="D68" s="476">
        <v>236.36</v>
      </c>
      <c r="E68" s="476">
        <v>243.42</v>
      </c>
      <c r="K68" s="475">
        <f t="shared" si="10"/>
        <v>1500</v>
      </c>
      <c r="L68" s="497">
        <f t="shared" si="11"/>
        <v>1500</v>
      </c>
      <c r="M68" s="471">
        <f t="shared" si="6"/>
        <v>0</v>
      </c>
      <c r="N68" s="477" t="str">
        <f t="shared" si="7"/>
        <v/>
      </c>
      <c r="O68" s="470"/>
      <c r="P68" s="471"/>
    </row>
    <row r="69" spans="1:16" x14ac:dyDescent="0.25">
      <c r="A69" s="907" t="s">
        <v>28</v>
      </c>
      <c r="B69" s="472" t="s">
        <v>29</v>
      </c>
      <c r="C69" s="476">
        <v>72</v>
      </c>
      <c r="D69" s="476">
        <v>72</v>
      </c>
      <c r="E69" s="476">
        <v>72</v>
      </c>
      <c r="K69" s="475">
        <f t="shared" si="10"/>
        <v>250</v>
      </c>
      <c r="L69" s="497">
        <f t="shared" si="11"/>
        <v>250</v>
      </c>
      <c r="M69" s="471">
        <f t="shared" si="6"/>
        <v>0</v>
      </c>
      <c r="N69" s="477" t="str">
        <f t="shared" si="7"/>
        <v/>
      </c>
      <c r="O69" s="470"/>
      <c r="P69" s="471"/>
    </row>
    <row r="70" spans="1:16" x14ac:dyDescent="0.25">
      <c r="A70" s="907" t="s">
        <v>19</v>
      </c>
      <c r="B70" s="472" t="s">
        <v>20</v>
      </c>
      <c r="C70" s="476">
        <v>216</v>
      </c>
      <c r="D70" s="476">
        <v>248.8</v>
      </c>
      <c r="E70" s="476">
        <v>298.56</v>
      </c>
      <c r="K70" s="475">
        <f t="shared" si="10"/>
        <v>0</v>
      </c>
      <c r="L70" s="497">
        <f>+O34</f>
        <v>700</v>
      </c>
      <c r="M70" s="471">
        <f t="shared" si="6"/>
        <v>700</v>
      </c>
      <c r="N70" s="477">
        <f t="shared" si="7"/>
        <v>1</v>
      </c>
      <c r="O70" s="470"/>
      <c r="P70" s="471"/>
    </row>
    <row r="71" spans="1:16" x14ac:dyDescent="0.25">
      <c r="A71" s="907" t="s">
        <v>68</v>
      </c>
      <c r="B71" s="472" t="s">
        <v>681</v>
      </c>
      <c r="C71" s="476">
        <v>744</v>
      </c>
      <c r="D71" s="476">
        <v>696.64</v>
      </c>
      <c r="E71" s="476">
        <v>646.88</v>
      </c>
      <c r="K71" s="475">
        <f t="shared" si="10"/>
        <v>700</v>
      </c>
      <c r="L71" s="497">
        <f>+O35</f>
        <v>3500</v>
      </c>
      <c r="M71" s="471">
        <f t="shared" si="6"/>
        <v>2800</v>
      </c>
      <c r="N71" s="477">
        <f t="shared" si="7"/>
        <v>4</v>
      </c>
      <c r="O71" s="470"/>
      <c r="P71" s="471"/>
    </row>
    <row r="72" spans="1:16" hidden="1" x14ac:dyDescent="0.25">
      <c r="A72" s="907" t="s">
        <v>1065</v>
      </c>
      <c r="B72" s="472" t="s">
        <v>1066</v>
      </c>
      <c r="C72" s="476"/>
      <c r="D72" s="476"/>
      <c r="E72" s="476"/>
      <c r="K72" s="475">
        <f t="shared" si="10"/>
        <v>3500</v>
      </c>
      <c r="L72" s="497">
        <f>+O36</f>
        <v>0</v>
      </c>
      <c r="M72" s="471">
        <f t="shared" si="6"/>
        <v>-3500</v>
      </c>
      <c r="N72" s="477">
        <f t="shared" si="7"/>
        <v>-1</v>
      </c>
      <c r="O72" s="470"/>
      <c r="P72" s="471"/>
    </row>
    <row r="73" spans="1:16" x14ac:dyDescent="0.25">
      <c r="A73" s="907" t="s">
        <v>69</v>
      </c>
      <c r="B73" s="472" t="s">
        <v>84</v>
      </c>
      <c r="C73" s="476">
        <v>72</v>
      </c>
      <c r="D73" s="476">
        <v>72</v>
      </c>
      <c r="E73" s="476">
        <v>72</v>
      </c>
      <c r="K73" s="475">
        <f>+M37</f>
        <v>200</v>
      </c>
      <c r="L73" s="497">
        <f>+O37</f>
        <v>200</v>
      </c>
      <c r="M73" s="471">
        <f t="shared" si="6"/>
        <v>0</v>
      </c>
      <c r="N73" s="477" t="str">
        <f t="shared" si="7"/>
        <v/>
      </c>
      <c r="O73" s="470"/>
      <c r="P73" s="471"/>
    </row>
    <row r="74" spans="1:16" x14ac:dyDescent="0.25">
      <c r="K74" s="114"/>
    </row>
    <row r="75" spans="1:16" x14ac:dyDescent="0.25">
      <c r="B75" s="4" t="s">
        <v>1363</v>
      </c>
      <c r="C75" s="23"/>
      <c r="D75" s="23"/>
      <c r="E75" s="23"/>
      <c r="F75" s="23"/>
      <c r="G75" s="23"/>
      <c r="K75" s="742">
        <f>SUM(K49:K73)</f>
        <v>109846</v>
      </c>
      <c r="L75" s="742">
        <f>SUM(L49:L73)</f>
        <v>112782</v>
      </c>
      <c r="M75" s="742">
        <f>SUM(M49:M73)</f>
        <v>2936</v>
      </c>
      <c r="N75" s="743">
        <f>IF(K75+L75&lt;&gt;0,IF(K75&lt;&gt;0,IF(M75&lt;&gt;0,ROUND((+M75/K75),4),""),1),"")</f>
        <v>2.6700000000000002E-2</v>
      </c>
    </row>
  </sheetData>
  <phoneticPr fontId="0" type="noConversion"/>
  <hyperlinks>
    <hyperlink ref="A1" location="'Working Budget with funding det'!A1" display="Main " xr:uid="{00000000-0004-0000-1800-000000000000}"/>
    <hyperlink ref="B1" location="'Table of Contents'!A1" display="TOC" xr:uid="{00000000-0004-0000-1800-000001000000}"/>
  </hyperlinks>
  <pageMargins left="0.75" right="0.75" top="1" bottom="1" header="0.5" footer="0.5"/>
  <pageSetup fitToHeight="2" orientation="landscape" r:id="rId1"/>
  <headerFooter alignWithMargins="0">
    <oddFooter>&amp;L&amp;D  &amp;T&amp;C&amp;F&amp;R&amp;A</oddFooter>
  </headerFooter>
  <rowBreaks count="1" manualBreakCount="1">
    <brk id="41" max="11"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Q139"/>
  <sheetViews>
    <sheetView zoomScaleNormal="100" workbookViewId="0">
      <pane ySplit="8" topLeftCell="A68" activePane="bottomLeft" state="frozen"/>
      <selection activeCell="P9" sqref="P9"/>
      <selection pane="bottomLeft" activeCell="Q69" sqref="Q69:Q83"/>
    </sheetView>
  </sheetViews>
  <sheetFormatPr defaultRowHeight="13.2" x14ac:dyDescent="0.25"/>
  <cols>
    <col min="1" max="1" width="12.6640625" style="885" customWidth="1"/>
    <col min="2" max="2" width="36.6640625" customWidth="1"/>
    <col min="3" max="3" width="16" style="1" hidden="1" customWidth="1"/>
    <col min="4" max="8" width="16" style="114" hidden="1" customWidth="1"/>
    <col min="9" max="10" width="15.77734375" style="114" hidden="1" customWidth="1"/>
    <col min="11" max="13" width="14.44140625" style="114" customWidth="1"/>
    <col min="14" max="14" width="15.77734375" customWidth="1"/>
    <col min="15" max="15" width="15.109375" style="1" customWidth="1"/>
    <col min="16" max="17" width="17.33203125" style="1" customWidth="1"/>
    <col min="18" max="18" width="10.109375" bestFit="1" customWidth="1"/>
  </cols>
  <sheetData>
    <row r="1" spans="1:17" ht="13.8" x14ac:dyDescent="0.25">
      <c r="A1" s="874" t="s">
        <v>1021</v>
      </c>
      <c r="B1" s="371" t="s">
        <v>1348</v>
      </c>
      <c r="O1" s="335"/>
      <c r="P1" s="230"/>
    </row>
    <row r="2" spans="1:17" ht="13.8" x14ac:dyDescent="0.25">
      <c r="A2" s="875" t="s">
        <v>261</v>
      </c>
      <c r="B2" s="45"/>
      <c r="E2" s="141"/>
      <c r="I2" s="141" t="s">
        <v>257</v>
      </c>
      <c r="J2" s="141"/>
      <c r="K2" s="141"/>
      <c r="L2" s="141"/>
      <c r="M2" s="141"/>
      <c r="N2" s="61" t="s">
        <v>294</v>
      </c>
      <c r="O2" s="335"/>
      <c r="P2" s="46" t="s">
        <v>485</v>
      </c>
    </row>
    <row r="3" spans="1:17" ht="13.8" thickBot="1" x14ac:dyDescent="0.3">
      <c r="A3" s="876"/>
      <c r="B3" s="4"/>
      <c r="C3" s="23"/>
      <c r="D3" s="23"/>
      <c r="E3" s="23"/>
      <c r="F3" s="23"/>
      <c r="G3" s="23"/>
      <c r="H3" s="23"/>
      <c r="I3" s="23"/>
      <c r="J3" s="23"/>
      <c r="K3" s="23"/>
      <c r="L3" s="23"/>
      <c r="M3" s="23"/>
      <c r="N3" s="4"/>
      <c r="O3" s="105"/>
      <c r="P3" s="4"/>
      <c r="Q3" s="4"/>
    </row>
    <row r="4" spans="1:17" ht="13.8" thickTop="1" x14ac:dyDescent="0.25">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336" t="s">
        <v>910</v>
      </c>
      <c r="P4" s="7" t="s">
        <v>910</v>
      </c>
    </row>
    <row r="5" spans="1:17" x14ac:dyDescent="0.25">
      <c r="A5" s="878"/>
      <c r="B5" s="209"/>
      <c r="C5" s="127"/>
      <c r="D5" s="87"/>
      <c r="E5" s="113"/>
      <c r="F5" s="87"/>
      <c r="G5" s="87"/>
      <c r="H5" s="113"/>
      <c r="I5" s="290"/>
      <c r="J5" s="290"/>
      <c r="K5" s="290"/>
      <c r="L5" s="290"/>
      <c r="M5" s="290"/>
      <c r="N5" s="113" t="s">
        <v>515</v>
      </c>
      <c r="O5" s="337" t="s">
        <v>7</v>
      </c>
      <c r="P5" s="203" t="s">
        <v>782</v>
      </c>
    </row>
    <row r="6" spans="1:17" x14ac:dyDescent="0.25">
      <c r="A6" s="878"/>
      <c r="B6" s="209"/>
      <c r="C6" s="127"/>
      <c r="D6" s="127"/>
      <c r="E6" s="127"/>
      <c r="F6" s="127"/>
      <c r="G6" s="127"/>
      <c r="H6" s="127"/>
      <c r="I6" s="88"/>
      <c r="J6" s="88"/>
      <c r="K6" s="88"/>
      <c r="L6" s="88"/>
      <c r="M6" s="88"/>
      <c r="N6" s="127"/>
      <c r="O6" s="337" t="s">
        <v>8</v>
      </c>
      <c r="P6" s="47" t="s">
        <v>543</v>
      </c>
    </row>
    <row r="7" spans="1:17"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44561</v>
      </c>
      <c r="O7" s="338" t="s">
        <v>9</v>
      </c>
      <c r="P7" s="9" t="s">
        <v>546</v>
      </c>
    </row>
    <row r="8" spans="1:17" ht="13.8" hidden="1" thickTop="1" x14ac:dyDescent="0.25">
      <c r="A8" s="908">
        <v>5111</v>
      </c>
      <c r="B8" s="210" t="s">
        <v>687</v>
      </c>
      <c r="C8" s="132">
        <v>94541.440000000002</v>
      </c>
      <c r="D8" s="18">
        <f>4666+71741</f>
        <v>76407</v>
      </c>
      <c r="E8" s="18">
        <v>79100</v>
      </c>
      <c r="F8" s="18">
        <v>84668.79</v>
      </c>
      <c r="G8" s="18">
        <v>86894</v>
      </c>
      <c r="H8" s="18"/>
      <c r="I8" s="36"/>
      <c r="J8" s="36"/>
      <c r="K8" s="249"/>
      <c r="L8" s="249"/>
      <c r="M8" s="249"/>
      <c r="N8" s="18"/>
      <c r="O8" s="249"/>
      <c r="P8" s="19"/>
    </row>
    <row r="9" spans="1:17" ht="13.8" thickTop="1" x14ac:dyDescent="0.25">
      <c r="A9" s="908">
        <v>5112</v>
      </c>
      <c r="B9" s="63" t="s">
        <v>688</v>
      </c>
      <c r="C9" s="130">
        <v>558256.29</v>
      </c>
      <c r="D9" s="18">
        <v>673834.28</v>
      </c>
      <c r="E9" s="18">
        <v>754753.01</v>
      </c>
      <c r="F9" s="18">
        <v>801324.19</v>
      </c>
      <c r="G9" s="18">
        <v>830656.61</v>
      </c>
      <c r="H9" s="18">
        <f>-90402+839726.16</f>
        <v>749324.16</v>
      </c>
      <c r="I9" s="13">
        <f>56327.4+938205.2</f>
        <v>994532.6</v>
      </c>
      <c r="J9" s="13">
        <v>979569.74</v>
      </c>
      <c r="K9" s="248">
        <v>1066247</v>
      </c>
      <c r="L9" s="144">
        <v>1033229.88</v>
      </c>
      <c r="M9" s="248">
        <v>1126021</v>
      </c>
      <c r="N9" s="13">
        <v>532455.96</v>
      </c>
      <c r="O9" s="248">
        <f>ROUND((SUM(N68:N85)),0)</f>
        <v>1184459</v>
      </c>
      <c r="P9" s="19"/>
      <c r="Q9" s="435"/>
    </row>
    <row r="10" spans="1:17" x14ac:dyDescent="0.25">
      <c r="A10" s="908">
        <v>5113</v>
      </c>
      <c r="B10" s="63" t="s">
        <v>14</v>
      </c>
      <c r="C10" s="130">
        <v>10745.01</v>
      </c>
      <c r="D10" s="18">
        <f>105.98+10950.18</f>
        <v>11056.16</v>
      </c>
      <c r="E10" s="18">
        <v>10477.32</v>
      </c>
      <c r="F10" s="18">
        <v>10864.62</v>
      </c>
      <c r="G10" s="18">
        <v>11393.66</v>
      </c>
      <c r="H10" s="18">
        <v>11758.11</v>
      </c>
      <c r="I10" s="13">
        <v>12311.69</v>
      </c>
      <c r="J10" s="13">
        <v>13072.92</v>
      </c>
      <c r="K10" s="248">
        <v>14034</v>
      </c>
      <c r="L10" s="144">
        <v>13517.7</v>
      </c>
      <c r="M10" s="248">
        <v>14556</v>
      </c>
      <c r="N10" s="13">
        <v>6786.8</v>
      </c>
      <c r="O10" s="248">
        <f>ROUND((+N86),0)</f>
        <v>14857</v>
      </c>
      <c r="P10" s="19"/>
      <c r="Q10" s="425"/>
    </row>
    <row r="11" spans="1:17" x14ac:dyDescent="0.25">
      <c r="A11" s="881">
        <v>5114</v>
      </c>
      <c r="B11" s="63" t="s">
        <v>160</v>
      </c>
      <c r="C11" s="130">
        <f>95.03+22206.8</f>
        <v>22301.829999999998</v>
      </c>
      <c r="D11" s="13">
        <f>15705.21+1162.29</f>
        <v>16867.5</v>
      </c>
      <c r="E11" s="13">
        <v>22998.86</v>
      </c>
      <c r="F11" s="13">
        <v>28723.59</v>
      </c>
      <c r="G11" s="13">
        <v>26839.71</v>
      </c>
      <c r="H11" s="13">
        <v>30833.5</v>
      </c>
      <c r="I11" s="13">
        <v>10672.75</v>
      </c>
      <c r="J11" s="13">
        <v>4624</v>
      </c>
      <c r="K11" s="122">
        <v>22858</v>
      </c>
      <c r="L11" s="144">
        <v>6305</v>
      </c>
      <c r="M11" s="122">
        <v>28000</v>
      </c>
      <c r="N11" s="13">
        <v>3171</v>
      </c>
      <c r="O11" s="122">
        <v>15000</v>
      </c>
      <c r="P11" s="19"/>
      <c r="Q11" s="425"/>
    </row>
    <row r="12" spans="1:17" x14ac:dyDescent="0.25">
      <c r="A12" s="881">
        <v>5132</v>
      </c>
      <c r="B12" s="63" t="s">
        <v>161</v>
      </c>
      <c r="C12" s="130">
        <v>133928.87</v>
      </c>
      <c r="D12" s="13">
        <v>109534.24</v>
      </c>
      <c r="E12" s="13">
        <v>122687.36</v>
      </c>
      <c r="F12" s="13">
        <v>126122.56</v>
      </c>
      <c r="G12" s="13">
        <v>127810.01</v>
      </c>
      <c r="H12" s="13">
        <v>130789.6</v>
      </c>
      <c r="I12" s="13">
        <v>125185.91</v>
      </c>
      <c r="J12" s="13">
        <v>141973.56</v>
      </c>
      <c r="K12" s="122">
        <v>130249</v>
      </c>
      <c r="L12" s="144">
        <v>136288.74</v>
      </c>
      <c r="M12" s="122">
        <v>142000</v>
      </c>
      <c r="N12" s="13">
        <v>68000.45</v>
      </c>
      <c r="O12" s="122">
        <v>142000</v>
      </c>
      <c r="P12" s="19"/>
      <c r="Q12" s="425"/>
    </row>
    <row r="13" spans="1:17" x14ac:dyDescent="0.25">
      <c r="A13" s="881">
        <v>5135</v>
      </c>
      <c r="B13" s="63" t="s">
        <v>162</v>
      </c>
      <c r="C13" s="130">
        <v>13416.61</v>
      </c>
      <c r="D13" s="13">
        <v>8222.52</v>
      </c>
      <c r="E13" s="13">
        <v>6134.34</v>
      </c>
      <c r="F13" s="13">
        <v>4797.04</v>
      </c>
      <c r="G13" s="13">
        <v>4891.88</v>
      </c>
      <c r="H13" s="13">
        <v>8947.85</v>
      </c>
      <c r="I13" s="13">
        <v>4273.67</v>
      </c>
      <c r="J13" s="13">
        <v>5538.01</v>
      </c>
      <c r="K13" s="122">
        <v>8000</v>
      </c>
      <c r="L13" s="144">
        <v>764.31</v>
      </c>
      <c r="M13" s="122">
        <v>8000</v>
      </c>
      <c r="N13" s="13">
        <v>888.71</v>
      </c>
      <c r="O13" s="122">
        <v>8000</v>
      </c>
      <c r="P13" s="19"/>
      <c r="Q13" s="425"/>
    </row>
    <row r="14" spans="1:17" x14ac:dyDescent="0.25">
      <c r="A14" s="881">
        <v>5141</v>
      </c>
      <c r="B14" s="63" t="s">
        <v>163</v>
      </c>
      <c r="C14" s="130">
        <v>76334.600000000006</v>
      </c>
      <c r="D14" s="13">
        <v>84591.45</v>
      </c>
      <c r="E14" s="13">
        <v>89808.42</v>
      </c>
      <c r="F14" s="13">
        <v>87004.96</v>
      </c>
      <c r="G14" s="13">
        <v>82596.990000000005</v>
      </c>
      <c r="H14" s="13">
        <v>84853.57</v>
      </c>
      <c r="I14" s="13">
        <v>91100.04</v>
      </c>
      <c r="J14" s="13">
        <v>79809.279999999999</v>
      </c>
      <c r="K14" s="122">
        <v>87545</v>
      </c>
      <c r="L14" s="144">
        <v>91927.14</v>
      </c>
      <c r="M14" s="122">
        <v>102817</v>
      </c>
      <c r="N14" s="13">
        <v>51020</v>
      </c>
      <c r="O14" s="122">
        <v>101760</v>
      </c>
      <c r="P14" s="19"/>
      <c r="Q14" s="435"/>
    </row>
    <row r="15" spans="1:17" x14ac:dyDescent="0.25">
      <c r="A15" s="881">
        <v>5142</v>
      </c>
      <c r="B15" s="63" t="s">
        <v>164</v>
      </c>
      <c r="C15" s="130">
        <v>9209.4</v>
      </c>
      <c r="D15" s="13">
        <v>9918.3799999999992</v>
      </c>
      <c r="E15" s="13">
        <v>10383.99</v>
      </c>
      <c r="F15" s="13">
        <v>10222.549999999999</v>
      </c>
      <c r="G15" s="13">
        <v>8943.35</v>
      </c>
      <c r="H15" s="13">
        <v>9444.15</v>
      </c>
      <c r="I15" s="13">
        <v>9751.73</v>
      </c>
      <c r="J15" s="13">
        <v>13690.42</v>
      </c>
      <c r="K15" s="122">
        <f>4446+11000</f>
        <v>15446</v>
      </c>
      <c r="L15" s="144">
        <v>14574.36</v>
      </c>
      <c r="M15" s="122">
        <v>15446</v>
      </c>
      <c r="N15" s="13">
        <v>7356.11</v>
      </c>
      <c r="O15" s="122">
        <f>4446+11000</f>
        <v>15446</v>
      </c>
      <c r="P15" s="19"/>
      <c r="Q15" s="425"/>
    </row>
    <row r="16" spans="1:17" x14ac:dyDescent="0.25">
      <c r="A16" s="881">
        <v>5143</v>
      </c>
      <c r="B16" s="63" t="s">
        <v>165</v>
      </c>
      <c r="C16" s="130">
        <v>36513.300000000003</v>
      </c>
      <c r="D16" s="13">
        <v>45805.83</v>
      </c>
      <c r="E16" s="13">
        <v>52853.36</v>
      </c>
      <c r="F16" s="13">
        <v>55508.14</v>
      </c>
      <c r="G16" s="13">
        <v>52994.1</v>
      </c>
      <c r="H16" s="13">
        <v>52435.4</v>
      </c>
      <c r="I16" s="13">
        <v>54628.09</v>
      </c>
      <c r="J16" s="13">
        <v>57320.56</v>
      </c>
      <c r="K16" s="122">
        <f>ROUND(((((66546*1.01)*1.015)*1.005)*1.02),0)+2163</f>
        <v>72095</v>
      </c>
      <c r="L16" s="144">
        <v>68585.61</v>
      </c>
      <c r="M16" s="122">
        <v>72095</v>
      </c>
      <c r="N16" s="13">
        <v>34295.599999999999</v>
      </c>
      <c r="O16" s="122">
        <f>ROUND(((((66546*1.01)*1.015)*1.005)*1.02),0)+2163</f>
        <v>72095</v>
      </c>
      <c r="P16" s="19"/>
      <c r="Q16" s="425"/>
    </row>
    <row r="17" spans="1:17" x14ac:dyDescent="0.25">
      <c r="A17" s="881">
        <v>5144</v>
      </c>
      <c r="B17" s="63" t="s">
        <v>157</v>
      </c>
      <c r="C17" s="130">
        <v>3200</v>
      </c>
      <c r="D17" s="13">
        <v>3200</v>
      </c>
      <c r="E17" s="13">
        <v>2900</v>
      </c>
      <c r="F17" s="13">
        <v>2900</v>
      </c>
      <c r="G17" s="13">
        <v>3000</v>
      </c>
      <c r="H17" s="13">
        <v>600</v>
      </c>
      <c r="I17" s="13">
        <v>600</v>
      </c>
      <c r="J17" s="13">
        <v>600</v>
      </c>
      <c r="K17" s="122">
        <v>600</v>
      </c>
      <c r="L17" s="144">
        <v>700</v>
      </c>
      <c r="M17" s="122">
        <v>700</v>
      </c>
      <c r="N17" s="13"/>
      <c r="O17" s="122">
        <v>700</v>
      </c>
      <c r="P17" s="19"/>
      <c r="Q17" s="435"/>
    </row>
    <row r="18" spans="1:17" x14ac:dyDescent="0.25">
      <c r="A18" s="881">
        <v>5145</v>
      </c>
      <c r="B18" s="63" t="s">
        <v>602</v>
      </c>
      <c r="C18" s="250">
        <v>2988.86</v>
      </c>
      <c r="D18" s="37">
        <v>3254.28</v>
      </c>
      <c r="E18" s="37">
        <v>3467.77</v>
      </c>
      <c r="F18" s="37">
        <v>3588.94</v>
      </c>
      <c r="G18" s="37">
        <v>3323.52</v>
      </c>
      <c r="H18" s="37">
        <v>3392.76</v>
      </c>
      <c r="I18" s="37">
        <v>4154.3999999999996</v>
      </c>
      <c r="J18" s="37">
        <v>4050.54</v>
      </c>
      <c r="K18" s="125">
        <v>3900</v>
      </c>
      <c r="L18" s="233">
        <v>4292.88</v>
      </c>
      <c r="M18" s="125">
        <v>4000</v>
      </c>
      <c r="N18" s="37">
        <v>1967.57</v>
      </c>
      <c r="O18" s="125">
        <v>4280</v>
      </c>
      <c r="P18" s="19"/>
      <c r="Q18" s="425"/>
    </row>
    <row r="19" spans="1:17" x14ac:dyDescent="0.25">
      <c r="A19" s="881">
        <v>5147</v>
      </c>
      <c r="B19" s="12" t="s">
        <v>1054</v>
      </c>
      <c r="C19" s="37"/>
      <c r="D19" s="37"/>
      <c r="E19" s="37"/>
      <c r="F19" s="37"/>
      <c r="G19" s="37">
        <v>1013.8</v>
      </c>
      <c r="H19" s="37">
        <v>2457.08</v>
      </c>
      <c r="I19" s="37">
        <v>2121.6</v>
      </c>
      <c r="J19" s="37">
        <v>2513.2800000000002</v>
      </c>
      <c r="K19" s="125">
        <v>4000</v>
      </c>
      <c r="L19" s="233">
        <v>4036.48</v>
      </c>
      <c r="M19" s="125">
        <v>4000</v>
      </c>
      <c r="N19" s="37">
        <v>1904</v>
      </c>
      <c r="O19" s="125">
        <v>4000</v>
      </c>
      <c r="P19" s="19"/>
      <c r="Q19" s="425"/>
    </row>
    <row r="20" spans="1:17" x14ac:dyDescent="0.25">
      <c r="A20" s="881">
        <v>5148</v>
      </c>
      <c r="B20" s="12" t="s">
        <v>1334</v>
      </c>
      <c r="C20" s="37"/>
      <c r="D20" s="37"/>
      <c r="E20" s="37"/>
      <c r="F20" s="37"/>
      <c r="G20" s="37"/>
      <c r="H20" s="37"/>
      <c r="I20" s="37"/>
      <c r="J20" s="37">
        <v>1487.7</v>
      </c>
      <c r="K20" s="125">
        <v>1500</v>
      </c>
      <c r="L20" s="233">
        <v>1524.81</v>
      </c>
      <c r="M20" s="125">
        <v>1500</v>
      </c>
      <c r="N20" s="37">
        <v>719.25</v>
      </c>
      <c r="O20" s="125">
        <v>1500</v>
      </c>
      <c r="P20" s="19"/>
      <c r="Q20" s="425"/>
    </row>
    <row r="21" spans="1:17" x14ac:dyDescent="0.25">
      <c r="A21" s="881">
        <v>5149</v>
      </c>
      <c r="B21" s="12" t="s">
        <v>674</v>
      </c>
      <c r="C21" s="37"/>
      <c r="D21" s="37"/>
      <c r="E21" s="37"/>
      <c r="F21" s="37"/>
      <c r="G21" s="37"/>
      <c r="H21" s="37"/>
      <c r="I21" s="37"/>
      <c r="J21" s="37">
        <v>3000</v>
      </c>
      <c r="K21" s="125">
        <v>3000</v>
      </c>
      <c r="L21" s="233">
        <v>3000</v>
      </c>
      <c r="M21" s="125">
        <v>3000</v>
      </c>
      <c r="N21" s="37"/>
      <c r="O21" s="125">
        <v>3000</v>
      </c>
      <c r="P21" s="19"/>
      <c r="Q21" s="425"/>
    </row>
    <row r="22" spans="1:17" x14ac:dyDescent="0.25">
      <c r="A22" s="881">
        <v>5151</v>
      </c>
      <c r="B22" s="12" t="s">
        <v>380</v>
      </c>
      <c r="C22" s="37">
        <v>44408.6</v>
      </c>
      <c r="D22" s="37">
        <v>8051.52</v>
      </c>
      <c r="E22" s="37">
        <v>7516.41</v>
      </c>
      <c r="F22" s="37"/>
      <c r="G22" s="37">
        <v>4270.1499999999996</v>
      </c>
      <c r="H22" s="37">
        <v>3071.99</v>
      </c>
      <c r="I22" s="37"/>
      <c r="J22" s="37">
        <v>52269.05</v>
      </c>
      <c r="K22" s="125"/>
      <c r="L22" s="233">
        <v>3606.56</v>
      </c>
      <c r="M22" s="125"/>
      <c r="N22" s="37"/>
      <c r="O22" s="125"/>
      <c r="P22" s="19"/>
      <c r="Q22" s="425"/>
    </row>
    <row r="23" spans="1:17" x14ac:dyDescent="0.25">
      <c r="A23" s="881">
        <v>5152</v>
      </c>
      <c r="B23" s="12" t="s">
        <v>381</v>
      </c>
      <c r="C23" s="37">
        <v>4330.43</v>
      </c>
      <c r="D23" s="37">
        <v>716.25</v>
      </c>
      <c r="E23" s="37">
        <v>751.63</v>
      </c>
      <c r="F23" s="37"/>
      <c r="G23" s="37">
        <v>427.02</v>
      </c>
      <c r="H23" s="37"/>
      <c r="I23" s="37"/>
      <c r="J23" s="37">
        <v>5226.9799999999996</v>
      </c>
      <c r="K23" s="125"/>
      <c r="L23" s="233">
        <v>378.65</v>
      </c>
      <c r="M23" s="125"/>
      <c r="N23" s="37"/>
      <c r="O23" s="125"/>
      <c r="P23" s="19"/>
      <c r="Q23" s="425"/>
    </row>
    <row r="24" spans="1:17" x14ac:dyDescent="0.25">
      <c r="A24" s="881">
        <v>5153</v>
      </c>
      <c r="B24" s="12" t="s">
        <v>217</v>
      </c>
      <c r="C24" s="37">
        <v>2110.3200000000002</v>
      </c>
      <c r="D24" s="37">
        <v>237.36</v>
      </c>
      <c r="E24" s="37">
        <v>249.28</v>
      </c>
      <c r="F24" s="37"/>
      <c r="G24" s="37">
        <v>251.76</v>
      </c>
      <c r="H24" s="37"/>
      <c r="I24" s="37"/>
      <c r="J24" s="37">
        <v>2385.92</v>
      </c>
      <c r="K24" s="125"/>
      <c r="L24" s="233"/>
      <c r="M24" s="125"/>
      <c r="N24" s="37"/>
      <c r="O24" s="125"/>
      <c r="P24" s="19"/>
      <c r="Q24" s="425"/>
    </row>
    <row r="25" spans="1:17" x14ac:dyDescent="0.25">
      <c r="A25" s="881">
        <v>5191</v>
      </c>
      <c r="B25" s="12" t="s">
        <v>445</v>
      </c>
      <c r="C25" s="37">
        <v>1250</v>
      </c>
      <c r="D25" s="37">
        <v>1250</v>
      </c>
      <c r="E25" s="37">
        <v>2000</v>
      </c>
      <c r="F25" s="37">
        <v>750</v>
      </c>
      <c r="G25" s="37">
        <v>1250</v>
      </c>
      <c r="H25" s="37">
        <v>1000</v>
      </c>
      <c r="I25" s="37">
        <v>2250</v>
      </c>
      <c r="J25" s="37">
        <v>5500</v>
      </c>
      <c r="K25" s="38">
        <v>7500</v>
      </c>
      <c r="L25" s="37">
        <v>2000</v>
      </c>
      <c r="M25" s="38">
        <v>7500</v>
      </c>
      <c r="N25" s="37"/>
      <c r="O25" s="38">
        <v>7500</v>
      </c>
      <c r="P25" s="19"/>
      <c r="Q25" s="425"/>
    </row>
    <row r="26" spans="1:17" x14ac:dyDescent="0.25">
      <c r="A26" s="881">
        <v>5193</v>
      </c>
      <c r="B26" s="12" t="s">
        <v>291</v>
      </c>
      <c r="C26" s="37"/>
      <c r="D26" s="37"/>
      <c r="E26" s="37"/>
      <c r="F26" s="37">
        <f>4273.95+3500</f>
        <v>7773.95</v>
      </c>
      <c r="G26" s="37">
        <f>9833.91+7000</f>
        <v>16833.91</v>
      </c>
      <c r="H26" s="37"/>
      <c r="I26" s="37"/>
      <c r="J26" s="37">
        <v>3270.01</v>
      </c>
      <c r="K26" s="38">
        <v>0</v>
      </c>
      <c r="L26" s="37">
        <f>11179.3+1705.88</f>
        <v>12885.18</v>
      </c>
      <c r="M26" s="38"/>
      <c r="N26" s="37">
        <v>1884</v>
      </c>
      <c r="O26" s="38">
        <v>0</v>
      </c>
      <c r="P26" s="19"/>
      <c r="Q26" s="425"/>
    </row>
    <row r="27" spans="1:17" ht="13.8" thickBot="1" x14ac:dyDescent="0.3">
      <c r="A27" s="881">
        <v>5195</v>
      </c>
      <c r="B27" s="12" t="s">
        <v>166</v>
      </c>
      <c r="C27" s="37">
        <v>15543.38</v>
      </c>
      <c r="D27" s="37">
        <v>42221.279999999999</v>
      </c>
      <c r="E27" s="37">
        <v>32224.55</v>
      </c>
      <c r="F27" s="37">
        <v>29791.279999999999</v>
      </c>
      <c r="G27" s="37">
        <v>35389.57</v>
      </c>
      <c r="H27" s="37">
        <v>42189.93</v>
      </c>
      <c r="I27" s="37">
        <v>53020</v>
      </c>
      <c r="J27" s="37">
        <v>32183.26</v>
      </c>
      <c r="K27" s="38">
        <v>31800</v>
      </c>
      <c r="L27" s="37">
        <v>39531.949999999997</v>
      </c>
      <c r="M27" s="38">
        <v>43000</v>
      </c>
      <c r="N27" s="37">
        <v>11978.17</v>
      </c>
      <c r="O27" s="38">
        <v>43000</v>
      </c>
      <c r="P27" s="19"/>
      <c r="Q27" s="435"/>
    </row>
    <row r="28" spans="1:17" x14ac:dyDescent="0.25">
      <c r="A28" s="881"/>
      <c r="B28" s="17" t="s">
        <v>130</v>
      </c>
      <c r="C28" s="32">
        <f t="shared" ref="C28:N28" si="0">SUM(C8:C27)</f>
        <v>1029078.94</v>
      </c>
      <c r="D28" s="32">
        <f t="shared" si="0"/>
        <v>1095168.05</v>
      </c>
      <c r="E28" s="32">
        <f t="shared" si="0"/>
        <v>1198306.2999999998</v>
      </c>
      <c r="F28" s="32">
        <f>SUM(F8:F27)</f>
        <v>1254040.6099999999</v>
      </c>
      <c r="G28" s="32">
        <f>SUM(G8:G27)</f>
        <v>1298780.04</v>
      </c>
      <c r="H28" s="32">
        <f>SUM(H8:H27)</f>
        <v>1131098.1000000001</v>
      </c>
      <c r="I28" s="32">
        <f t="shared" si="0"/>
        <v>1364602.48</v>
      </c>
      <c r="J28" s="32">
        <f t="shared" si="0"/>
        <v>1408085.23</v>
      </c>
      <c r="K28" s="296">
        <f>SUM(K8:K27)</f>
        <v>1468774</v>
      </c>
      <c r="L28" s="322">
        <f t="shared" ref="L28:M28" si="1">SUM(L8:L27)</f>
        <v>1437149.25</v>
      </c>
      <c r="M28" s="296">
        <f t="shared" si="1"/>
        <v>1572635</v>
      </c>
      <c r="N28" s="32">
        <f t="shared" si="0"/>
        <v>722427.61999999988</v>
      </c>
      <c r="O28" s="296">
        <f>SUM(O8:O27)</f>
        <v>1617597</v>
      </c>
      <c r="P28" s="296">
        <f>+O28</f>
        <v>1617597</v>
      </c>
      <c r="Q28" s="435"/>
    </row>
    <row r="29" spans="1:17" x14ac:dyDescent="0.25">
      <c r="A29" s="881"/>
      <c r="B29" s="12"/>
      <c r="C29" s="13"/>
      <c r="D29" s="13"/>
      <c r="E29" s="13"/>
      <c r="F29" s="13"/>
      <c r="G29" s="13"/>
      <c r="H29" s="13"/>
      <c r="I29" s="13"/>
      <c r="J29" s="13"/>
      <c r="K29" s="122"/>
      <c r="L29" s="144"/>
      <c r="M29" s="122"/>
      <c r="N29" s="13"/>
      <c r="O29" s="122"/>
      <c r="P29" s="122"/>
      <c r="Q29" s="425"/>
    </row>
    <row r="30" spans="1:17" x14ac:dyDescent="0.25">
      <c r="A30" s="881">
        <v>5242</v>
      </c>
      <c r="B30" s="12" t="s">
        <v>573</v>
      </c>
      <c r="C30" s="13">
        <v>1923.55</v>
      </c>
      <c r="D30" s="13">
        <v>1658.62</v>
      </c>
      <c r="E30" s="13">
        <v>1894.84</v>
      </c>
      <c r="F30" s="13">
        <v>1105.04</v>
      </c>
      <c r="G30" s="13">
        <v>534.73</v>
      </c>
      <c r="H30" s="13">
        <v>2307.02</v>
      </c>
      <c r="I30" s="144">
        <v>904.08</v>
      </c>
      <c r="J30" s="144">
        <v>1474.23</v>
      </c>
      <c r="K30" s="122">
        <v>1750</v>
      </c>
      <c r="L30" s="144">
        <v>1163.42</v>
      </c>
      <c r="M30" s="122">
        <v>1750</v>
      </c>
      <c r="N30" s="13">
        <v>414.66</v>
      </c>
      <c r="O30" s="122">
        <v>1750</v>
      </c>
      <c r="P30" s="122"/>
      <c r="Q30" s="425"/>
    </row>
    <row r="31" spans="1:17" x14ac:dyDescent="0.25">
      <c r="A31" s="881">
        <v>5247</v>
      </c>
      <c r="B31" s="12" t="s">
        <v>1053</v>
      </c>
      <c r="C31" s="13"/>
      <c r="D31" s="13"/>
      <c r="E31" s="13"/>
      <c r="F31" s="13"/>
      <c r="G31" s="13">
        <v>19764.91</v>
      </c>
      <c r="H31" s="13">
        <v>19447.28</v>
      </c>
      <c r="I31" s="144">
        <v>20346.37</v>
      </c>
      <c r="J31" s="144">
        <v>23499.32</v>
      </c>
      <c r="K31" s="122">
        <v>24000</v>
      </c>
      <c r="L31" s="144">
        <v>23751.75</v>
      </c>
      <c r="M31" s="122">
        <v>25100</v>
      </c>
      <c r="N31" s="13">
        <v>19132.990000000002</v>
      </c>
      <c r="O31" s="122">
        <v>26000</v>
      </c>
      <c r="P31" s="122"/>
      <c r="Q31" s="425"/>
    </row>
    <row r="32" spans="1:17" x14ac:dyDescent="0.25">
      <c r="A32" s="881">
        <v>5250</v>
      </c>
      <c r="B32" s="12" t="s">
        <v>557</v>
      </c>
      <c r="C32" s="13">
        <v>27200.82</v>
      </c>
      <c r="D32" s="13">
        <v>21469.42</v>
      </c>
      <c r="E32" s="13">
        <v>28516.33</v>
      </c>
      <c r="F32" s="13">
        <v>22395.21</v>
      </c>
      <c r="G32" s="13">
        <v>7534.06</v>
      </c>
      <c r="H32" s="13">
        <v>8660.18</v>
      </c>
      <c r="I32" s="144">
        <v>8092.83</v>
      </c>
      <c r="J32" s="144">
        <v>10669.89</v>
      </c>
      <c r="K32" s="122">
        <v>11000</v>
      </c>
      <c r="L32" s="144">
        <v>15121.21</v>
      </c>
      <c r="M32" s="122">
        <v>11000</v>
      </c>
      <c r="N32" s="13">
        <v>774.4</v>
      </c>
      <c r="O32" s="122">
        <f>2500+12000</f>
        <v>14500</v>
      </c>
      <c r="P32" s="122"/>
      <c r="Q32" s="425"/>
    </row>
    <row r="33" spans="1:17" x14ac:dyDescent="0.25">
      <c r="A33" s="881">
        <v>5260</v>
      </c>
      <c r="B33" s="12" t="s">
        <v>860</v>
      </c>
      <c r="C33" s="102"/>
      <c r="D33" s="102"/>
      <c r="E33" s="102"/>
      <c r="F33" s="102">
        <v>763.41</v>
      </c>
      <c r="G33" s="102">
        <v>694.8</v>
      </c>
      <c r="H33" s="102">
        <v>881.4</v>
      </c>
      <c r="I33" s="312">
        <v>877.5</v>
      </c>
      <c r="J33" s="312">
        <v>6441.39</v>
      </c>
      <c r="K33" s="252">
        <v>1360</v>
      </c>
      <c r="L33" s="312">
        <v>936.82</v>
      </c>
      <c r="M33" s="252">
        <v>1360</v>
      </c>
      <c r="N33" s="102">
        <v>877.5</v>
      </c>
      <c r="O33" s="252">
        <v>1360</v>
      </c>
      <c r="P33" s="122"/>
      <c r="Q33" s="425"/>
    </row>
    <row r="34" spans="1:17" x14ac:dyDescent="0.25">
      <c r="A34" s="881">
        <v>5314</v>
      </c>
      <c r="B34" s="12" t="s">
        <v>618</v>
      </c>
      <c r="C34" s="102"/>
      <c r="D34" s="102"/>
      <c r="E34" s="102"/>
      <c r="F34" s="102"/>
      <c r="G34" s="102"/>
      <c r="H34" s="102">
        <v>4655.99</v>
      </c>
      <c r="I34" s="312">
        <v>6174</v>
      </c>
      <c r="J34" s="312">
        <v>5471</v>
      </c>
      <c r="K34" s="252">
        <v>6000</v>
      </c>
      <c r="L34" s="312">
        <v>17151</v>
      </c>
      <c r="M34" s="252">
        <v>8000</v>
      </c>
      <c r="N34" s="102">
        <v>860</v>
      </c>
      <c r="O34" s="252">
        <v>8000</v>
      </c>
      <c r="P34" s="122"/>
      <c r="Q34" s="425"/>
    </row>
    <row r="35" spans="1:17" x14ac:dyDescent="0.25">
      <c r="A35" s="881">
        <v>5315</v>
      </c>
      <c r="B35" s="12" t="s">
        <v>723</v>
      </c>
      <c r="C35" s="102">
        <v>11637.02</v>
      </c>
      <c r="D35" s="102">
        <v>0</v>
      </c>
      <c r="E35" s="102">
        <v>3445.6</v>
      </c>
      <c r="F35" s="102">
        <v>11061.07</v>
      </c>
      <c r="G35" s="102">
        <v>4170.46</v>
      </c>
      <c r="H35" s="102">
        <v>5244.13</v>
      </c>
      <c r="I35" s="312">
        <v>5004.57</v>
      </c>
      <c r="J35" s="312">
        <v>7361.18</v>
      </c>
      <c r="K35" s="252">
        <v>0</v>
      </c>
      <c r="L35" s="312"/>
      <c r="M35" s="252">
        <v>0</v>
      </c>
      <c r="N35" s="102">
        <v>4521.83</v>
      </c>
      <c r="O35" s="252">
        <v>0</v>
      </c>
      <c r="P35" s="122"/>
      <c r="Q35" s="425"/>
    </row>
    <row r="36" spans="1:17" x14ac:dyDescent="0.25">
      <c r="A36" s="881">
        <v>5318</v>
      </c>
      <c r="B36" s="12" t="s">
        <v>168</v>
      </c>
      <c r="C36" s="13">
        <v>389.48</v>
      </c>
      <c r="D36" s="13">
        <v>414.14</v>
      </c>
      <c r="E36" s="13">
        <v>251.14</v>
      </c>
      <c r="F36" s="13">
        <v>152.4</v>
      </c>
      <c r="G36" s="13">
        <v>25.17</v>
      </c>
      <c r="H36" s="13">
        <v>58.05</v>
      </c>
      <c r="I36" s="144">
        <v>5.34</v>
      </c>
      <c r="J36" s="144">
        <v>48.52</v>
      </c>
      <c r="K36" s="122">
        <v>300</v>
      </c>
      <c r="L36" s="144">
        <v>13.34</v>
      </c>
      <c r="M36" s="122">
        <v>300</v>
      </c>
      <c r="N36" s="13"/>
      <c r="O36" s="122">
        <v>300</v>
      </c>
      <c r="P36" s="122"/>
      <c r="Q36" s="425"/>
    </row>
    <row r="37" spans="1:17" x14ac:dyDescent="0.25">
      <c r="A37" s="881">
        <v>5319</v>
      </c>
      <c r="B37" s="12" t="s">
        <v>169</v>
      </c>
      <c r="C37" s="13">
        <v>377</v>
      </c>
      <c r="D37" s="13">
        <v>365</v>
      </c>
      <c r="E37" s="13">
        <v>225</v>
      </c>
      <c r="F37" s="13">
        <v>197</v>
      </c>
      <c r="G37" s="13">
        <v>107</v>
      </c>
      <c r="H37" s="13">
        <v>70</v>
      </c>
      <c r="I37" s="144">
        <v>160</v>
      </c>
      <c r="J37" s="144">
        <v>150</v>
      </c>
      <c r="K37" s="122">
        <v>300</v>
      </c>
      <c r="L37" s="144">
        <v>80</v>
      </c>
      <c r="M37" s="122">
        <v>300</v>
      </c>
      <c r="N37" s="13">
        <v>60</v>
      </c>
      <c r="O37" s="122">
        <v>300</v>
      </c>
      <c r="P37" s="122"/>
      <c r="Q37" s="425"/>
    </row>
    <row r="38" spans="1:17" x14ac:dyDescent="0.25">
      <c r="A38" s="881">
        <v>5341</v>
      </c>
      <c r="B38" s="12" t="s">
        <v>141</v>
      </c>
      <c r="C38" s="13">
        <v>9988.5499999999993</v>
      </c>
      <c r="D38" s="13">
        <v>9838.16</v>
      </c>
      <c r="E38" s="13">
        <v>9610.84</v>
      </c>
      <c r="F38" s="13">
        <v>9829.93</v>
      </c>
      <c r="G38" s="13">
        <v>9619.1299999999992</v>
      </c>
      <c r="H38" s="13">
        <v>9346.1299999999992</v>
      </c>
      <c r="I38" s="144">
        <v>9830.56</v>
      </c>
      <c r="J38" s="144">
        <v>10255.549999999999</v>
      </c>
      <c r="K38" s="122">
        <v>10000</v>
      </c>
      <c r="L38" s="144">
        <v>10792.73</v>
      </c>
      <c r="M38" s="122">
        <v>10500</v>
      </c>
      <c r="N38" s="13">
        <v>5330.89</v>
      </c>
      <c r="O38" s="122">
        <v>10800</v>
      </c>
      <c r="P38" s="122"/>
      <c r="Q38" s="425"/>
    </row>
    <row r="39" spans="1:17" x14ac:dyDescent="0.25">
      <c r="A39" s="881">
        <v>5344</v>
      </c>
      <c r="B39" s="12" t="s">
        <v>142</v>
      </c>
      <c r="C39" s="13">
        <v>485.47</v>
      </c>
      <c r="D39" s="13">
        <v>433.04</v>
      </c>
      <c r="E39" s="13">
        <v>431.03</v>
      </c>
      <c r="F39" s="13">
        <v>502.45</v>
      </c>
      <c r="G39" s="13">
        <v>403.99</v>
      </c>
      <c r="H39" s="13">
        <v>479.52</v>
      </c>
      <c r="I39" s="144">
        <v>516.46</v>
      </c>
      <c r="J39" s="144">
        <v>543.54</v>
      </c>
      <c r="K39" s="122">
        <v>500</v>
      </c>
      <c r="L39" s="144">
        <v>462.24</v>
      </c>
      <c r="M39" s="122">
        <v>550</v>
      </c>
      <c r="N39" s="13">
        <v>163.99</v>
      </c>
      <c r="O39" s="122">
        <v>550</v>
      </c>
      <c r="P39" s="122"/>
      <c r="Q39" s="425"/>
    </row>
    <row r="40" spans="1:17" x14ac:dyDescent="0.25">
      <c r="A40" s="881">
        <v>5345</v>
      </c>
      <c r="B40" s="12" t="s">
        <v>143</v>
      </c>
      <c r="C40" s="13">
        <v>60</v>
      </c>
      <c r="D40" s="13">
        <v>312.44</v>
      </c>
      <c r="E40" s="13">
        <v>834.4</v>
      </c>
      <c r="F40" s="13">
        <v>0</v>
      </c>
      <c r="G40" s="13">
        <v>447</v>
      </c>
      <c r="H40" s="13">
        <v>319.68</v>
      </c>
      <c r="I40" s="144">
        <v>394.04</v>
      </c>
      <c r="J40" s="144">
        <v>448.28</v>
      </c>
      <c r="K40" s="122">
        <v>500</v>
      </c>
      <c r="L40" s="144">
        <v>731.44</v>
      </c>
      <c r="M40" s="122">
        <v>500</v>
      </c>
      <c r="N40" s="13">
        <v>318.75</v>
      </c>
      <c r="O40" s="122">
        <v>500</v>
      </c>
      <c r="P40" s="122"/>
      <c r="Q40" s="425"/>
    </row>
    <row r="41" spans="1:17" x14ac:dyDescent="0.25">
      <c r="A41" s="881">
        <v>5350</v>
      </c>
      <c r="B41" s="12" t="s">
        <v>442</v>
      </c>
      <c r="C41" s="18">
        <v>4888</v>
      </c>
      <c r="D41" s="18">
        <v>8902</v>
      </c>
      <c r="E41" s="18">
        <v>2516</v>
      </c>
      <c r="F41" s="18">
        <v>12259</v>
      </c>
      <c r="G41" s="18">
        <v>996</v>
      </c>
      <c r="H41" s="18">
        <v>1754</v>
      </c>
      <c r="I41" s="126">
        <v>15284</v>
      </c>
      <c r="J41" s="126">
        <v>1592</v>
      </c>
      <c r="K41" s="124">
        <v>2100</v>
      </c>
      <c r="L41" s="126">
        <v>1219</v>
      </c>
      <c r="M41" s="124">
        <v>2100</v>
      </c>
      <c r="N41" s="18">
        <v>696</v>
      </c>
      <c r="O41" s="124">
        <f>7800+2100</f>
        <v>9900</v>
      </c>
      <c r="P41" s="124"/>
      <c r="Q41" s="425"/>
    </row>
    <row r="42" spans="1:17" x14ac:dyDescent="0.25">
      <c r="A42" s="881">
        <v>5451</v>
      </c>
      <c r="B42" s="12" t="s">
        <v>202</v>
      </c>
      <c r="C42" s="18">
        <v>151.84</v>
      </c>
      <c r="D42" s="18">
        <v>313.04000000000002</v>
      </c>
      <c r="E42" s="18">
        <v>240.78</v>
      </c>
      <c r="F42" s="18">
        <v>112.75</v>
      </c>
      <c r="G42" s="18">
        <v>139.61000000000001</v>
      </c>
      <c r="H42" s="18">
        <v>260.10000000000002</v>
      </c>
      <c r="I42" s="126">
        <v>104.27</v>
      </c>
      <c r="J42" s="126">
        <v>265.44</v>
      </c>
      <c r="K42" s="124">
        <v>300</v>
      </c>
      <c r="L42" s="126">
        <v>247.13</v>
      </c>
      <c r="M42" s="124">
        <v>300</v>
      </c>
      <c r="N42" s="18">
        <v>356.91</v>
      </c>
      <c r="O42" s="124">
        <v>300</v>
      </c>
      <c r="P42" s="124"/>
      <c r="Q42" s="425"/>
    </row>
    <row r="43" spans="1:17" x14ac:dyDescent="0.25">
      <c r="A43" s="881">
        <v>5480</v>
      </c>
      <c r="B43" s="12" t="s">
        <v>555</v>
      </c>
      <c r="C43" s="18">
        <f>68522.52-C44</f>
        <v>31988.520000000004</v>
      </c>
      <c r="D43" s="18">
        <v>20804.080000000002</v>
      </c>
      <c r="E43" s="18">
        <v>25094.28</v>
      </c>
      <c r="F43" s="18">
        <v>18000.5</v>
      </c>
      <c r="G43" s="18">
        <v>31258.58</v>
      </c>
      <c r="H43" s="18">
        <v>25831.08</v>
      </c>
      <c r="I43" s="126">
        <f>1137.74+23649.64</f>
        <v>24787.38</v>
      </c>
      <c r="J43" s="126">
        <v>31019.71</v>
      </c>
      <c r="K43" s="124">
        <v>26000</v>
      </c>
      <c r="L43" s="126">
        <v>31171.32</v>
      </c>
      <c r="M43" s="124">
        <v>27000</v>
      </c>
      <c r="N43" s="18">
        <v>9879.0300000000007</v>
      </c>
      <c r="O43" s="124">
        <v>28000</v>
      </c>
      <c r="P43" s="124"/>
      <c r="Q43" s="425"/>
    </row>
    <row r="44" spans="1:17" x14ac:dyDescent="0.25">
      <c r="A44" s="881">
        <v>5481</v>
      </c>
      <c r="B44" s="12" t="s">
        <v>170</v>
      </c>
      <c r="C44" s="18">
        <v>36534</v>
      </c>
      <c r="D44" s="18">
        <v>40525.1</v>
      </c>
      <c r="E44" s="18">
        <v>37560.18</v>
      </c>
      <c r="F44" s="18">
        <v>24219.75</v>
      </c>
      <c r="G44" s="18">
        <v>26119.52</v>
      </c>
      <c r="H44" s="18">
        <v>30176.73</v>
      </c>
      <c r="I44" s="126">
        <v>28160.62</v>
      </c>
      <c r="J44" s="126">
        <v>24111.4</v>
      </c>
      <c r="K44" s="124">
        <v>30000</v>
      </c>
      <c r="L44" s="126">
        <v>20704.87</v>
      </c>
      <c r="M44" s="124">
        <v>28000</v>
      </c>
      <c r="N44" s="18">
        <v>11487.95</v>
      </c>
      <c r="O44" s="124">
        <v>33000</v>
      </c>
      <c r="P44" s="124"/>
      <c r="Q44" s="425"/>
    </row>
    <row r="45" spans="1:17" hidden="1" x14ac:dyDescent="0.25">
      <c r="A45" s="881">
        <v>5501</v>
      </c>
      <c r="B45" s="12" t="s">
        <v>172</v>
      </c>
      <c r="C45" s="13"/>
      <c r="D45" s="18">
        <v>1000</v>
      </c>
      <c r="E45" s="18"/>
      <c r="F45" s="18">
        <v>230</v>
      </c>
      <c r="G45" s="18">
        <v>1000</v>
      </c>
      <c r="H45" s="18">
        <v>1200</v>
      </c>
      <c r="I45" s="126">
        <v>500</v>
      </c>
      <c r="J45" s="126"/>
      <c r="K45" s="124">
        <v>0</v>
      </c>
      <c r="L45" s="126"/>
      <c r="M45" s="124">
        <v>0</v>
      </c>
      <c r="N45" s="13"/>
      <c r="O45" s="124">
        <v>0</v>
      </c>
      <c r="P45" s="124"/>
      <c r="Q45" s="425"/>
    </row>
    <row r="46" spans="1:17" x14ac:dyDescent="0.25">
      <c r="A46" s="881">
        <v>5580</v>
      </c>
      <c r="B46" s="12" t="s">
        <v>145</v>
      </c>
      <c r="C46" s="13">
        <v>17942.53</v>
      </c>
      <c r="D46" s="13">
        <v>17659.2</v>
      </c>
      <c r="E46" s="13">
        <v>20857.36</v>
      </c>
      <c r="F46" s="13">
        <v>13576.91</v>
      </c>
      <c r="G46" s="13">
        <v>16470.63</v>
      </c>
      <c r="H46" s="13">
        <v>18033.55</v>
      </c>
      <c r="I46" s="144">
        <v>12767.34</v>
      </c>
      <c r="J46" s="144">
        <v>13246.1</v>
      </c>
      <c r="K46" s="122">
        <v>13000</v>
      </c>
      <c r="L46" s="144">
        <v>12447.67</v>
      </c>
      <c r="M46" s="122">
        <v>15000</v>
      </c>
      <c r="N46" s="13">
        <v>2614.58</v>
      </c>
      <c r="O46" s="122">
        <f>2500+13500</f>
        <v>16000</v>
      </c>
      <c r="P46" s="122"/>
      <c r="Q46" s="425"/>
    </row>
    <row r="47" spans="1:17" x14ac:dyDescent="0.25">
      <c r="A47" s="881">
        <v>5581</v>
      </c>
      <c r="B47" s="12" t="s">
        <v>146</v>
      </c>
      <c r="C47" s="13">
        <v>22.95</v>
      </c>
      <c r="D47" s="13">
        <v>144.53</v>
      </c>
      <c r="E47" s="13">
        <v>40</v>
      </c>
      <c r="F47" s="13">
        <v>102.95</v>
      </c>
      <c r="G47" s="13">
        <v>40</v>
      </c>
      <c r="H47" s="13">
        <v>69.95</v>
      </c>
      <c r="I47" s="144">
        <v>421.99</v>
      </c>
      <c r="J47" s="144">
        <v>360.13</v>
      </c>
      <c r="K47" s="122">
        <v>400</v>
      </c>
      <c r="L47" s="144">
        <v>394.04</v>
      </c>
      <c r="M47" s="122">
        <v>400</v>
      </c>
      <c r="N47" s="13"/>
      <c r="O47" s="122">
        <v>400</v>
      </c>
      <c r="P47" s="122"/>
      <c r="Q47" s="425"/>
    </row>
    <row r="48" spans="1:17" x14ac:dyDescent="0.25">
      <c r="A48" s="881">
        <v>5582</v>
      </c>
      <c r="B48" s="12" t="s">
        <v>173</v>
      </c>
      <c r="C48" s="13">
        <v>13164.59</v>
      </c>
      <c r="D48" s="13">
        <v>14612.48</v>
      </c>
      <c r="E48" s="13">
        <v>13045.12</v>
      </c>
      <c r="F48" s="13">
        <v>12402.15</v>
      </c>
      <c r="G48" s="13">
        <v>14172.92</v>
      </c>
      <c r="H48" s="13">
        <v>16609.28</v>
      </c>
      <c r="I48" s="144">
        <v>16186.66</v>
      </c>
      <c r="J48" s="144">
        <v>15520.73</v>
      </c>
      <c r="K48" s="122">
        <f>14900+(16*200)</f>
        <v>18100</v>
      </c>
      <c r="L48" s="144">
        <v>16316.63</v>
      </c>
      <c r="M48" s="122">
        <f>14900+(16*200)</f>
        <v>18100</v>
      </c>
      <c r="N48" s="13">
        <v>9494.4599999999991</v>
      </c>
      <c r="O48" s="122">
        <v>19000</v>
      </c>
      <c r="P48" s="122"/>
      <c r="Q48" s="425"/>
    </row>
    <row r="49" spans="1:17" x14ac:dyDescent="0.25">
      <c r="A49" s="881">
        <v>5585</v>
      </c>
      <c r="B49" s="12" t="s">
        <v>724</v>
      </c>
      <c r="C49" s="18"/>
      <c r="D49" s="13">
        <v>8296</v>
      </c>
      <c r="E49" s="13">
        <v>5859.25</v>
      </c>
      <c r="F49" s="13">
        <v>3333.42</v>
      </c>
      <c r="G49" s="13">
        <v>4047.07</v>
      </c>
      <c r="H49" s="13">
        <v>4091.88</v>
      </c>
      <c r="I49" s="144">
        <v>5826.01</v>
      </c>
      <c r="J49" s="144">
        <v>5845.61</v>
      </c>
      <c r="K49" s="122">
        <v>5900</v>
      </c>
      <c r="L49" s="144">
        <v>5987.7</v>
      </c>
      <c r="M49" s="122">
        <v>5900</v>
      </c>
      <c r="N49" s="13"/>
      <c r="O49" s="122">
        <v>5900</v>
      </c>
      <c r="P49" s="122"/>
      <c r="Q49" s="425"/>
    </row>
    <row r="50" spans="1:17" x14ac:dyDescent="0.25">
      <c r="A50" s="881">
        <v>5710</v>
      </c>
      <c r="B50" s="12" t="s">
        <v>535</v>
      </c>
      <c r="C50" s="18">
        <v>4091</v>
      </c>
      <c r="D50" s="13">
        <v>4364.99</v>
      </c>
      <c r="E50" s="13">
        <v>2125.65</v>
      </c>
      <c r="F50" s="13">
        <v>2348.25</v>
      </c>
      <c r="G50" s="13">
        <v>8302.5300000000007</v>
      </c>
      <c r="H50" s="13">
        <v>1694.36</v>
      </c>
      <c r="I50" s="144">
        <v>2004.48</v>
      </c>
      <c r="J50" s="144">
        <v>1043.44</v>
      </c>
      <c r="K50" s="122">
        <v>1900</v>
      </c>
      <c r="L50" s="126">
        <v>1450.93</v>
      </c>
      <c r="M50" s="122">
        <v>1900</v>
      </c>
      <c r="N50" s="18">
        <v>1733.08</v>
      </c>
      <c r="O50" s="122">
        <v>1900</v>
      </c>
      <c r="P50" s="122"/>
      <c r="Q50" s="425"/>
    </row>
    <row r="51" spans="1:17" x14ac:dyDescent="0.25">
      <c r="A51" s="881">
        <v>5730</v>
      </c>
      <c r="B51" s="12" t="s">
        <v>147</v>
      </c>
      <c r="C51" s="13">
        <v>1430</v>
      </c>
      <c r="D51" s="18">
        <v>1708</v>
      </c>
      <c r="E51" s="18">
        <v>1620</v>
      </c>
      <c r="F51" s="18">
        <v>1770</v>
      </c>
      <c r="G51" s="18">
        <v>2159</v>
      </c>
      <c r="H51" s="18">
        <v>1519</v>
      </c>
      <c r="I51" s="126">
        <v>1945</v>
      </c>
      <c r="J51" s="126">
        <v>2324</v>
      </c>
      <c r="K51" s="124">
        <v>2450</v>
      </c>
      <c r="L51" s="126">
        <v>2623</v>
      </c>
      <c r="M51" s="124">
        <v>2450</v>
      </c>
      <c r="N51" s="18">
        <v>330</v>
      </c>
      <c r="O51" s="124">
        <v>2700</v>
      </c>
      <c r="P51" s="124"/>
      <c r="Q51" s="425"/>
    </row>
    <row r="52" spans="1:17" x14ac:dyDescent="0.25">
      <c r="A52" s="881"/>
      <c r="B52" s="12" t="s">
        <v>1616</v>
      </c>
      <c r="C52" s="37"/>
      <c r="D52" s="30"/>
      <c r="E52" s="30"/>
      <c r="F52" s="30"/>
      <c r="G52" s="30"/>
      <c r="H52" s="30"/>
      <c r="I52" s="320"/>
      <c r="J52" s="320"/>
      <c r="K52" s="142"/>
      <c r="L52" s="320">
        <v>980.4</v>
      </c>
      <c r="M52" s="142"/>
      <c r="N52" s="30"/>
      <c r="O52" s="142"/>
      <c r="P52" s="142"/>
      <c r="Q52" s="425"/>
    </row>
    <row r="53" spans="1:17" ht="13.8" thickBot="1" x14ac:dyDescent="0.3">
      <c r="A53" s="881">
        <v>5740</v>
      </c>
      <c r="B53" s="12" t="s">
        <v>154</v>
      </c>
      <c r="C53" s="15">
        <v>11660</v>
      </c>
      <c r="D53" s="15">
        <v>15136</v>
      </c>
      <c r="E53" s="15">
        <v>18476</v>
      </c>
      <c r="F53" s="15">
        <v>21860</v>
      </c>
      <c r="G53" s="15">
        <v>23865</v>
      </c>
      <c r="H53" s="15">
        <v>25405</v>
      </c>
      <c r="I53" s="233">
        <v>26001</v>
      </c>
      <c r="J53" s="233">
        <v>25549</v>
      </c>
      <c r="K53" s="125">
        <v>27903</v>
      </c>
      <c r="L53" s="233">
        <v>26736</v>
      </c>
      <c r="M53" s="125">
        <v>28800</v>
      </c>
      <c r="N53" s="37">
        <v>33103</v>
      </c>
      <c r="O53" s="125">
        <v>34000</v>
      </c>
      <c r="P53" s="125"/>
      <c r="Q53" s="425"/>
    </row>
    <row r="54" spans="1:17" x14ac:dyDescent="0.25">
      <c r="A54" s="881"/>
      <c r="B54" s="17" t="s">
        <v>449</v>
      </c>
      <c r="C54" s="30">
        <f t="shared" ref="C54:O54" si="2">SUM(C30:C53)</f>
        <v>173935.32</v>
      </c>
      <c r="D54" s="30">
        <f t="shared" si="2"/>
        <v>167956.24</v>
      </c>
      <c r="E54" s="30">
        <f t="shared" si="2"/>
        <v>172643.79999999996</v>
      </c>
      <c r="F54" s="30">
        <f t="shared" si="2"/>
        <v>156222.19</v>
      </c>
      <c r="G54" s="30">
        <f t="shared" si="2"/>
        <v>171872.11000000002</v>
      </c>
      <c r="H54" s="30">
        <f t="shared" si="2"/>
        <v>178114.31</v>
      </c>
      <c r="I54" s="32">
        <f t="shared" si="2"/>
        <v>186294.50000000003</v>
      </c>
      <c r="J54" s="32">
        <f t="shared" ref="J54" si="3">SUM(J30:J53)</f>
        <v>187240.46</v>
      </c>
      <c r="K54" s="187">
        <f t="shared" si="2"/>
        <v>183763</v>
      </c>
      <c r="L54" s="32">
        <f t="shared" si="2"/>
        <v>190482.64</v>
      </c>
      <c r="M54" s="187">
        <f t="shared" ref="M54" si="4">SUM(M30:M53)</f>
        <v>189310</v>
      </c>
      <c r="N54" s="32">
        <f t="shared" si="2"/>
        <v>102150.02</v>
      </c>
      <c r="O54" s="187">
        <f t="shared" si="2"/>
        <v>215160</v>
      </c>
      <c r="P54" s="187">
        <f>+O54</f>
        <v>215160</v>
      </c>
      <c r="Q54" s="425"/>
    </row>
    <row r="55" spans="1:17" x14ac:dyDescent="0.25">
      <c r="A55" s="881"/>
      <c r="B55" s="12"/>
      <c r="C55" s="37"/>
      <c r="D55" s="37"/>
      <c r="E55" s="37"/>
      <c r="F55" s="37"/>
      <c r="G55" s="37"/>
      <c r="H55" s="37"/>
      <c r="I55" s="37"/>
      <c r="J55" s="37"/>
      <c r="K55" s="38"/>
      <c r="L55" s="37"/>
      <c r="M55" s="38"/>
      <c r="N55" s="37"/>
      <c r="O55" s="38"/>
      <c r="P55" s="38"/>
      <c r="Q55" s="425"/>
    </row>
    <row r="56" spans="1:17" ht="13.8" thickBot="1" x14ac:dyDescent="0.3">
      <c r="A56" s="881">
        <v>5800</v>
      </c>
      <c r="B56" s="12" t="s">
        <v>609</v>
      </c>
      <c r="C56" s="15">
        <v>36895.4</v>
      </c>
      <c r="D56" s="15">
        <v>39483.5</v>
      </c>
      <c r="E56" s="15">
        <v>39102.5</v>
      </c>
      <c r="F56" s="15">
        <v>39498.1</v>
      </c>
      <c r="G56" s="15">
        <v>39500</v>
      </c>
      <c r="H56" s="15">
        <v>41424</v>
      </c>
      <c r="I56" s="15">
        <v>34000</v>
      </c>
      <c r="J56" s="15">
        <v>51600</v>
      </c>
      <c r="K56" s="16">
        <v>53000</v>
      </c>
      <c r="L56" s="15">
        <v>22900</v>
      </c>
      <c r="M56" s="16">
        <v>53000</v>
      </c>
      <c r="N56" s="15"/>
      <c r="O56" s="16">
        <v>54000</v>
      </c>
      <c r="P56" s="16">
        <f>+O56</f>
        <v>54000</v>
      </c>
      <c r="Q56" s="425"/>
    </row>
    <row r="57" spans="1:17" x14ac:dyDescent="0.25">
      <c r="A57" s="881"/>
      <c r="B57" s="17" t="s">
        <v>136</v>
      </c>
      <c r="C57" s="18">
        <f t="shared" ref="C57:O57" si="5">SUM(C56:C56)</f>
        <v>36895.4</v>
      </c>
      <c r="D57" s="18">
        <f t="shared" si="5"/>
        <v>39483.5</v>
      </c>
      <c r="E57" s="18">
        <f t="shared" si="5"/>
        <v>39102.5</v>
      </c>
      <c r="F57" s="18">
        <f>+F56</f>
        <v>39498.1</v>
      </c>
      <c r="G57" s="18">
        <f>+G56</f>
        <v>39500</v>
      </c>
      <c r="H57" s="18">
        <f>+H56</f>
        <v>41424</v>
      </c>
      <c r="I57" s="18">
        <f t="shared" si="5"/>
        <v>34000</v>
      </c>
      <c r="J57" s="18">
        <f t="shared" ref="J57" si="6">SUM(J56:J56)</f>
        <v>51600</v>
      </c>
      <c r="K57" s="36">
        <f t="shared" ref="K57:M57" si="7">SUM(K56:K56)</f>
        <v>53000</v>
      </c>
      <c r="L57" s="18">
        <f t="shared" si="7"/>
        <v>22900</v>
      </c>
      <c r="M57" s="36">
        <f t="shared" si="7"/>
        <v>53000</v>
      </c>
      <c r="N57" s="18">
        <f t="shared" si="5"/>
        <v>0</v>
      </c>
      <c r="O57" s="36">
        <f t="shared" si="5"/>
        <v>54000</v>
      </c>
      <c r="P57" s="36">
        <f>+P56</f>
        <v>54000</v>
      </c>
      <c r="Q57" s="425"/>
    </row>
    <row r="58" spans="1:17" x14ac:dyDescent="0.25">
      <c r="A58" s="921"/>
      <c r="B58" s="116"/>
      <c r="C58" s="30"/>
      <c r="D58" s="30"/>
      <c r="E58" s="30"/>
      <c r="F58" s="30"/>
      <c r="G58" s="30"/>
      <c r="H58" s="30"/>
      <c r="I58" s="30"/>
      <c r="J58" s="30"/>
      <c r="K58" s="185"/>
      <c r="L58" s="30"/>
      <c r="M58" s="185"/>
      <c r="N58" s="30"/>
      <c r="O58" s="185"/>
      <c r="P58" s="185"/>
      <c r="Q58" s="425"/>
    </row>
    <row r="59" spans="1:17" ht="13.8" thickBot="1" x14ac:dyDescent="0.3">
      <c r="A59" s="882"/>
      <c r="B59" s="20" t="s">
        <v>137</v>
      </c>
      <c r="C59" s="21">
        <f t="shared" ref="C59:O59" si="8">+C57+C54+C28</f>
        <v>1239909.6599999999</v>
      </c>
      <c r="D59" s="21">
        <f t="shared" si="8"/>
        <v>1302607.79</v>
      </c>
      <c r="E59" s="21">
        <f t="shared" si="8"/>
        <v>1410052.5999999999</v>
      </c>
      <c r="F59" s="21">
        <f t="shared" si="8"/>
        <v>1449760.9</v>
      </c>
      <c r="G59" s="21">
        <f t="shared" si="8"/>
        <v>1510152.1500000001</v>
      </c>
      <c r="H59" s="21">
        <f t="shared" si="8"/>
        <v>1350636.4100000001</v>
      </c>
      <c r="I59" s="21">
        <f t="shared" si="8"/>
        <v>1584896.98</v>
      </c>
      <c r="J59" s="21">
        <f t="shared" ref="J59" si="9">+J57+J54+J28</f>
        <v>1646925.69</v>
      </c>
      <c r="K59" s="22">
        <f t="shared" si="8"/>
        <v>1705537</v>
      </c>
      <c r="L59" s="21">
        <f t="shared" ref="L59:M59" si="10">+L57+L54+L28</f>
        <v>1650531.8900000001</v>
      </c>
      <c r="M59" s="22">
        <f t="shared" si="10"/>
        <v>1814945</v>
      </c>
      <c r="N59" s="21">
        <f t="shared" si="8"/>
        <v>824577.6399999999</v>
      </c>
      <c r="O59" s="22">
        <f t="shared" si="8"/>
        <v>1886757</v>
      </c>
      <c r="P59" s="22">
        <f>+O59</f>
        <v>1886757</v>
      </c>
    </row>
    <row r="60" spans="1:17" ht="13.8" thickTop="1" x14ac:dyDescent="0.25">
      <c r="A60" s="905"/>
      <c r="B60" s="83"/>
      <c r="C60" s="24"/>
      <c r="D60" s="24"/>
      <c r="E60" s="24"/>
      <c r="F60" s="24"/>
      <c r="G60" s="24"/>
      <c r="H60" s="24"/>
      <c r="I60" s="25"/>
      <c r="J60" s="25"/>
      <c r="K60" s="25"/>
      <c r="L60" s="25"/>
      <c r="M60" s="25"/>
      <c r="N60" s="24"/>
      <c r="O60" s="25"/>
      <c r="P60" s="25"/>
    </row>
    <row r="61" spans="1:17" x14ac:dyDescent="0.25">
      <c r="A61" s="944">
        <v>44587</v>
      </c>
      <c r="B61" s="26" t="s">
        <v>1867</v>
      </c>
      <c r="C61" s="24"/>
      <c r="D61" s="24"/>
      <c r="E61" s="24"/>
      <c r="F61" s="24"/>
      <c r="G61" s="24"/>
      <c r="H61" s="24"/>
      <c r="I61" s="25"/>
      <c r="J61" s="25"/>
      <c r="K61" s="25"/>
      <c r="L61" s="25"/>
      <c r="M61" s="25"/>
      <c r="N61" s="24"/>
      <c r="O61" s="25"/>
      <c r="P61" s="25"/>
    </row>
    <row r="62" spans="1:17" x14ac:dyDescent="0.25">
      <c r="A62" s="944">
        <v>44634</v>
      </c>
      <c r="B62" s="26" t="s">
        <v>1923</v>
      </c>
      <c r="C62" s="24"/>
      <c r="D62" s="24"/>
      <c r="E62" s="24"/>
      <c r="F62" s="24"/>
      <c r="G62" s="24"/>
      <c r="H62" s="24"/>
      <c r="I62" s="25"/>
      <c r="J62" s="25"/>
      <c r="K62" s="25"/>
      <c r="L62" s="25"/>
      <c r="M62" s="25"/>
      <c r="N62" s="24"/>
      <c r="O62" s="25"/>
      <c r="P62" s="25"/>
    </row>
    <row r="63" spans="1:17" x14ac:dyDescent="0.25">
      <c r="A63" s="944">
        <v>44637</v>
      </c>
      <c r="B63" s="26" t="s">
        <v>1925</v>
      </c>
      <c r="C63" s="24"/>
      <c r="D63" s="24"/>
      <c r="E63" s="24"/>
      <c r="F63" s="24"/>
      <c r="G63" s="24"/>
      <c r="H63" s="24"/>
      <c r="I63" s="25"/>
      <c r="J63" s="25"/>
      <c r="K63" s="25"/>
      <c r="L63" s="25"/>
      <c r="M63" s="25"/>
      <c r="N63" s="24"/>
      <c r="O63" s="25"/>
      <c r="P63" s="25"/>
    </row>
    <row r="64" spans="1:17" x14ac:dyDescent="0.25">
      <c r="A64" s="944"/>
      <c r="B64" s="83"/>
      <c r="C64" s="24"/>
      <c r="D64" s="24"/>
      <c r="E64" s="24"/>
      <c r="F64" s="24"/>
      <c r="G64" s="24"/>
      <c r="H64" s="24"/>
      <c r="I64" s="24"/>
      <c r="J64" s="24"/>
      <c r="K64" s="24"/>
      <c r="L64" s="24"/>
      <c r="M64" s="24"/>
      <c r="N64" s="25"/>
      <c r="O64" s="24"/>
      <c r="P64" s="77"/>
      <c r="Q64" s="23"/>
    </row>
    <row r="65" spans="1:17" ht="13.8" thickBot="1" x14ac:dyDescent="0.3">
      <c r="A65" s="57" t="s">
        <v>527</v>
      </c>
      <c r="B65" s="4"/>
      <c r="K65" s="224" t="s">
        <v>1728</v>
      </c>
    </row>
    <row r="66" spans="1:17" ht="13.8" thickTop="1" x14ac:dyDescent="0.25">
      <c r="A66" s="945" t="s">
        <v>891</v>
      </c>
      <c r="B66" s="165"/>
      <c r="K66" s="316" t="s">
        <v>85</v>
      </c>
      <c r="L66" s="156" t="s">
        <v>33</v>
      </c>
      <c r="M66" s="168" t="s">
        <v>34</v>
      </c>
      <c r="N66" s="158" t="s">
        <v>579</v>
      </c>
      <c r="O66" s="163" t="s">
        <v>53</v>
      </c>
      <c r="P66" s="161" t="s">
        <v>106</v>
      </c>
      <c r="Q66"/>
    </row>
    <row r="67" spans="1:17" ht="13.8" thickBot="1" x14ac:dyDescent="0.3">
      <c r="A67" s="150" t="s">
        <v>892</v>
      </c>
      <c r="B67" s="109" t="s">
        <v>528</v>
      </c>
      <c r="K67" s="343">
        <v>44743</v>
      </c>
      <c r="L67" s="159" t="s">
        <v>576</v>
      </c>
      <c r="M67" s="160" t="s">
        <v>706</v>
      </c>
      <c r="N67" s="160" t="s">
        <v>106</v>
      </c>
      <c r="O67" s="164" t="s">
        <v>686</v>
      </c>
      <c r="P67" s="162" t="s">
        <v>685</v>
      </c>
      <c r="Q67" s="234" t="s">
        <v>348</v>
      </c>
    </row>
    <row r="68" spans="1:17" ht="13.8" thickTop="1" x14ac:dyDescent="0.25">
      <c r="A68" s="1021"/>
      <c r="B68" s="63" t="s">
        <v>1942</v>
      </c>
      <c r="K68" s="13" t="s">
        <v>1727</v>
      </c>
      <c r="L68" s="13"/>
      <c r="M68" s="14"/>
      <c r="N68" s="144">
        <f>+'NAGE &amp; Non-Union Wages'!K13</f>
        <v>104366</v>
      </c>
      <c r="O68" s="825">
        <v>0.2</v>
      </c>
      <c r="P68" s="144">
        <f t="shared" ref="P68:P78" si="11">ROUND((+N68*O68),3)</f>
        <v>20873.2</v>
      </c>
      <c r="Q68" s="212"/>
    </row>
    <row r="69" spans="1:17" s="4" customFormat="1" ht="12" customHeight="1" x14ac:dyDescent="0.25">
      <c r="A69" s="1022"/>
      <c r="B69" s="63" t="s">
        <v>1943</v>
      </c>
      <c r="K69" s="144" t="s">
        <v>1426</v>
      </c>
      <c r="L69" s="13">
        <f>+'NAGE &amp; Non-Union Wages'!L11</f>
        <v>41.99</v>
      </c>
      <c r="M69" s="282">
        <v>2088</v>
      </c>
      <c r="N69" s="126">
        <f t="shared" ref="N69:N83" si="12">ROUND((+M69*L69),2)</f>
        <v>87675.12</v>
      </c>
      <c r="O69" s="144">
        <v>0.25</v>
      </c>
      <c r="P69" s="144">
        <f t="shared" si="11"/>
        <v>21918.78</v>
      </c>
      <c r="Q69" s="380"/>
    </row>
    <row r="70" spans="1:17" x14ac:dyDescent="0.25">
      <c r="A70" s="1023"/>
      <c r="B70" s="303" t="s">
        <v>1944</v>
      </c>
      <c r="K70" s="126" t="s">
        <v>1321</v>
      </c>
      <c r="L70" s="144">
        <f>+'Police Wages'!I10</f>
        <v>39.35</v>
      </c>
      <c r="M70" s="304">
        <v>1975</v>
      </c>
      <c r="N70" s="144">
        <f t="shared" si="12"/>
        <v>77716.25</v>
      </c>
      <c r="O70" s="825">
        <v>0.2</v>
      </c>
      <c r="P70" s="144">
        <f t="shared" si="11"/>
        <v>15543.25</v>
      </c>
      <c r="Q70" s="381"/>
    </row>
    <row r="71" spans="1:17" s="305" customFormat="1" x14ac:dyDescent="0.25">
      <c r="A71" s="1024"/>
      <c r="B71" s="306" t="s">
        <v>1945</v>
      </c>
      <c r="K71" s="126" t="s">
        <v>1322</v>
      </c>
      <c r="L71" s="144">
        <f>+'Police Wages'!I9</f>
        <v>35.43</v>
      </c>
      <c r="M71" s="304">
        <v>1975</v>
      </c>
      <c r="N71" s="144">
        <f t="shared" si="12"/>
        <v>69974.25</v>
      </c>
      <c r="O71" s="825">
        <v>0.1</v>
      </c>
      <c r="P71" s="144">
        <f t="shared" si="11"/>
        <v>6997.4250000000002</v>
      </c>
      <c r="Q71" s="385"/>
    </row>
    <row r="72" spans="1:17" s="305" customFormat="1" x14ac:dyDescent="0.25">
      <c r="A72" s="1023"/>
      <c r="B72" s="295" t="s">
        <v>1946</v>
      </c>
      <c r="K72" s="144" t="s">
        <v>1322</v>
      </c>
      <c r="L72" s="144">
        <f>+'Police Wages'!I9</f>
        <v>35.43</v>
      </c>
      <c r="M72" s="304">
        <v>1975</v>
      </c>
      <c r="N72" s="144">
        <f t="shared" si="12"/>
        <v>69974.25</v>
      </c>
      <c r="O72" s="825"/>
      <c r="P72" s="144">
        <f t="shared" si="11"/>
        <v>0</v>
      </c>
      <c r="Q72" s="381"/>
    </row>
    <row r="73" spans="1:17" s="305" customFormat="1" x14ac:dyDescent="0.25">
      <c r="A73" s="1022"/>
      <c r="B73" s="63" t="s">
        <v>1945</v>
      </c>
      <c r="K73" s="426" t="s">
        <v>1322</v>
      </c>
      <c r="L73" s="696">
        <f>+'Police Wages'!I9</f>
        <v>35.43</v>
      </c>
      <c r="M73" s="304">
        <v>1975</v>
      </c>
      <c r="N73" s="144">
        <f t="shared" si="12"/>
        <v>69974.25</v>
      </c>
      <c r="O73" s="825">
        <v>0.1</v>
      </c>
      <c r="P73" s="144">
        <f t="shared" si="11"/>
        <v>6997.4250000000002</v>
      </c>
      <c r="Q73" s="380"/>
    </row>
    <row r="74" spans="1:17" s="305" customFormat="1" ht="12.6" customHeight="1" x14ac:dyDescent="0.25">
      <c r="A74" s="1022"/>
      <c r="B74" s="237" t="s">
        <v>1947</v>
      </c>
      <c r="C74" s="1"/>
      <c r="D74" s="114"/>
      <c r="E74" s="114"/>
      <c r="F74" s="114"/>
      <c r="G74" s="114"/>
      <c r="K74" s="144" t="s">
        <v>1628</v>
      </c>
      <c r="L74" s="144">
        <f>+'Police Wages'!I7</f>
        <v>33.229999999999997</v>
      </c>
      <c r="M74" s="301">
        <v>1975</v>
      </c>
      <c r="N74" s="144">
        <f t="shared" si="12"/>
        <v>65629.25</v>
      </c>
      <c r="O74" s="302">
        <v>0.1</v>
      </c>
      <c r="P74" s="144">
        <f>ROUND((+N74*O74),3)</f>
        <v>6562.9250000000002</v>
      </c>
      <c r="Q74" s="152"/>
    </row>
    <row r="75" spans="1:17" s="305" customFormat="1" x14ac:dyDescent="0.25">
      <c r="A75" s="1022"/>
      <c r="B75" s="236" t="s">
        <v>1948</v>
      </c>
      <c r="C75" s="1"/>
      <c r="D75" s="114"/>
      <c r="E75" s="114"/>
      <c r="F75" s="114"/>
      <c r="G75" s="114"/>
      <c r="H75" s="114"/>
      <c r="K75" s="144" t="s">
        <v>1357</v>
      </c>
      <c r="L75" s="144">
        <f>+'Police Wages'!F7</f>
        <v>29.53</v>
      </c>
      <c r="M75" s="282">
        <v>1975</v>
      </c>
      <c r="N75" s="144">
        <f t="shared" si="12"/>
        <v>58321.75</v>
      </c>
      <c r="O75" s="302">
        <v>0.2</v>
      </c>
      <c r="P75" s="144">
        <f>ROUND((+N75*O75),3)</f>
        <v>11664.35</v>
      </c>
      <c r="Q75" s="380"/>
    </row>
    <row r="76" spans="1:17" s="305" customFormat="1" x14ac:dyDescent="0.25">
      <c r="A76" s="1022"/>
      <c r="B76" s="236" t="s">
        <v>1949</v>
      </c>
      <c r="C76" s="1"/>
      <c r="D76" s="114"/>
      <c r="E76" s="114"/>
      <c r="K76" s="144" t="s">
        <v>1324</v>
      </c>
      <c r="L76" s="144">
        <f>+'Police Wages'!I6</f>
        <v>30.64</v>
      </c>
      <c r="M76" s="282">
        <v>1975</v>
      </c>
      <c r="N76" s="144">
        <f t="shared" si="12"/>
        <v>60514</v>
      </c>
      <c r="O76" s="302"/>
      <c r="P76" s="144">
        <f>ROUND((+N76*O76),3)</f>
        <v>0</v>
      </c>
      <c r="Q76" s="380"/>
    </row>
    <row r="77" spans="1:17" s="305" customFormat="1" x14ac:dyDescent="0.25">
      <c r="A77" s="1022"/>
      <c r="B77" s="237" t="s">
        <v>1949</v>
      </c>
      <c r="C77" s="1"/>
      <c r="D77" s="114"/>
      <c r="E77" s="114"/>
      <c r="F77" s="114"/>
      <c r="G77" s="114"/>
      <c r="H77" s="114"/>
      <c r="K77" s="144" t="s">
        <v>1324</v>
      </c>
      <c r="L77" s="144">
        <f>+'Police Wages'!I6</f>
        <v>30.64</v>
      </c>
      <c r="M77" s="282">
        <v>1975</v>
      </c>
      <c r="N77" s="144">
        <f t="shared" si="12"/>
        <v>60514</v>
      </c>
      <c r="O77" s="302"/>
      <c r="P77" s="144">
        <f>ROUND((+N77*O77),3)</f>
        <v>0</v>
      </c>
      <c r="Q77" s="380"/>
    </row>
    <row r="78" spans="1:17" s="305" customFormat="1" x14ac:dyDescent="0.25">
      <c r="A78" s="1023"/>
      <c r="B78" s="295" t="s">
        <v>1950</v>
      </c>
      <c r="K78" s="144" t="s">
        <v>1324</v>
      </c>
      <c r="L78" s="144">
        <f>+'Police Wages'!I6</f>
        <v>30.64</v>
      </c>
      <c r="M78" s="304">
        <v>1975</v>
      </c>
      <c r="N78" s="144">
        <f t="shared" si="12"/>
        <v>60514</v>
      </c>
      <c r="O78" s="825"/>
      <c r="P78" s="144">
        <f t="shared" si="11"/>
        <v>0</v>
      </c>
      <c r="Q78" s="381"/>
    </row>
    <row r="79" spans="1:17" s="305" customFormat="1" x14ac:dyDescent="0.25">
      <c r="A79" s="1022"/>
      <c r="B79" s="63" t="s">
        <v>1949</v>
      </c>
      <c r="C79" s="1"/>
      <c r="D79" s="114"/>
      <c r="K79" s="144" t="s">
        <v>1427</v>
      </c>
      <c r="L79" s="144">
        <f>+'Police Wages'!H6</f>
        <v>29.47</v>
      </c>
      <c r="M79" s="282">
        <v>1975</v>
      </c>
      <c r="N79" s="144">
        <f t="shared" si="12"/>
        <v>58203.25</v>
      </c>
      <c r="O79" s="302">
        <v>0.1</v>
      </c>
      <c r="P79" s="144">
        <f t="shared" ref="P79:P81" si="13">ROUND((+N79*O79),3)</f>
        <v>5820.3249999999998</v>
      </c>
      <c r="Q79" s="380"/>
    </row>
    <row r="80" spans="1:17" x14ac:dyDescent="0.25">
      <c r="A80" s="1022"/>
      <c r="B80" s="237" t="s">
        <v>1949</v>
      </c>
      <c r="K80" s="144" t="s">
        <v>1324</v>
      </c>
      <c r="L80" s="144">
        <f>+'Police Wages'!I6</f>
        <v>30.64</v>
      </c>
      <c r="M80" s="301">
        <v>1975</v>
      </c>
      <c r="N80" s="144">
        <f t="shared" si="12"/>
        <v>60514</v>
      </c>
      <c r="O80" s="302"/>
      <c r="P80" s="144">
        <f t="shared" si="13"/>
        <v>0</v>
      </c>
      <c r="Q80" s="152"/>
    </row>
    <row r="81" spans="1:17" x14ac:dyDescent="0.25">
      <c r="A81" s="1021"/>
      <c r="B81" s="237" t="s">
        <v>1949</v>
      </c>
      <c r="K81" s="144" t="s">
        <v>1324</v>
      </c>
      <c r="L81" s="144">
        <f>+'Police Wages'!I6</f>
        <v>30.64</v>
      </c>
      <c r="M81" s="301">
        <v>1975</v>
      </c>
      <c r="N81" s="144">
        <f t="shared" si="12"/>
        <v>60514</v>
      </c>
      <c r="O81" s="302"/>
      <c r="P81" s="144">
        <f t="shared" si="13"/>
        <v>0</v>
      </c>
      <c r="Q81" s="151"/>
    </row>
    <row r="82" spans="1:17" x14ac:dyDescent="0.25">
      <c r="A82" s="1025"/>
      <c r="B82" s="580" t="s">
        <v>1949</v>
      </c>
      <c r="K82" s="233" t="s">
        <v>1629</v>
      </c>
      <c r="L82" s="233">
        <f>+'Police Wages'!F6</f>
        <v>27.25</v>
      </c>
      <c r="M82" s="375">
        <v>1975</v>
      </c>
      <c r="N82" s="233">
        <f t="shared" si="12"/>
        <v>53818.75</v>
      </c>
      <c r="O82" s="673">
        <v>0.1</v>
      </c>
      <c r="P82" s="233">
        <f>ROUND((+N82*O82),3)</f>
        <v>5381.875</v>
      </c>
      <c r="Q82" s="672"/>
    </row>
    <row r="83" spans="1:17" x14ac:dyDescent="0.25">
      <c r="A83" s="1027"/>
      <c r="B83" s="580" t="s">
        <v>1949</v>
      </c>
      <c r="C83" s="1028"/>
      <c r="D83" s="1029"/>
      <c r="E83" s="1029"/>
      <c r="F83" s="1029"/>
      <c r="K83" s="233" t="s">
        <v>759</v>
      </c>
      <c r="L83" s="233">
        <f>+'Police Wages'!E6</f>
        <v>26.21</v>
      </c>
      <c r="M83" s="993">
        <v>1975</v>
      </c>
      <c r="N83" s="233">
        <f t="shared" si="12"/>
        <v>51764.75</v>
      </c>
      <c r="O83" s="673"/>
      <c r="P83" s="233"/>
      <c r="Q83" s="152"/>
    </row>
    <row r="84" spans="1:17" x14ac:dyDescent="0.25">
      <c r="A84" s="1022"/>
      <c r="B84" s="63" t="s">
        <v>1949</v>
      </c>
      <c r="C84" s="75"/>
      <c r="D84" s="674"/>
      <c r="E84" s="674"/>
      <c r="F84" s="674"/>
      <c r="G84" s="674"/>
      <c r="H84" s="674"/>
      <c r="I84" s="674"/>
      <c r="J84" s="674"/>
      <c r="K84" s="1148" t="s">
        <v>758</v>
      </c>
      <c r="L84" s="1053">
        <f>+'Police Wages'!D6</f>
        <v>25.19</v>
      </c>
      <c r="M84" s="375">
        <v>1975</v>
      </c>
      <c r="N84" s="144">
        <f>ROUND((+M84*L84),2)</f>
        <v>49750.25</v>
      </c>
      <c r="O84" s="302">
        <v>0.2</v>
      </c>
      <c r="P84" s="144">
        <f t="shared" ref="P84" si="14">ROUND((+N84*O84),3)</f>
        <v>9950.0499999999993</v>
      </c>
    </row>
    <row r="85" spans="1:17" x14ac:dyDescent="0.25">
      <c r="A85" s="1022"/>
      <c r="B85" s="63" t="s">
        <v>1664</v>
      </c>
      <c r="C85" s="75"/>
      <c r="D85" s="674"/>
      <c r="E85" s="674"/>
      <c r="F85" s="674"/>
      <c r="G85" s="674"/>
      <c r="H85" s="674"/>
      <c r="I85" s="674"/>
      <c r="J85" s="674"/>
      <c r="K85" s="1148" t="s">
        <v>1665</v>
      </c>
      <c r="L85" s="1053">
        <f>+'Police Wages'!G9</f>
        <v>32.770000000000003</v>
      </c>
      <c r="M85" s="375">
        <v>1975</v>
      </c>
      <c r="N85" s="144">
        <f t="shared" ref="N85" si="15">ROUND((+M85*L85),2)</f>
        <v>64720.75</v>
      </c>
      <c r="O85" s="302"/>
      <c r="P85" s="144"/>
    </row>
    <row r="86" spans="1:17" x14ac:dyDescent="0.25">
      <c r="A86" s="934" t="s">
        <v>1183</v>
      </c>
      <c r="B86" s="236" t="s">
        <v>388</v>
      </c>
      <c r="C86" s="75"/>
      <c r="D86" s="674"/>
      <c r="E86" s="674"/>
      <c r="F86" s="674"/>
      <c r="G86" s="674"/>
      <c r="H86" s="674"/>
      <c r="I86" s="674"/>
      <c r="J86" s="674"/>
      <c r="K86" s="144" t="s">
        <v>1434</v>
      </c>
      <c r="L86" s="144">
        <f>+'NAGE &amp; Non-Union Wages'!J4</f>
        <v>18.23</v>
      </c>
      <c r="M86" s="375">
        <v>815</v>
      </c>
      <c r="N86" s="144">
        <f>ROUND((+M86*L86),2)</f>
        <v>14857.45</v>
      </c>
      <c r="O86" s="144"/>
      <c r="P86" s="826">
        <f>SUM(P68:P84)</f>
        <v>111709.60500000001</v>
      </c>
      <c r="Q86" s="134"/>
    </row>
    <row r="87" spans="1:17" x14ac:dyDescent="0.25">
      <c r="A87" s="876"/>
      <c r="B87" s="4"/>
      <c r="C87" s="23"/>
      <c r="D87" s="23"/>
      <c r="I87" s="23"/>
      <c r="J87" s="23"/>
      <c r="K87" s="23"/>
      <c r="L87" s="23"/>
      <c r="M87" s="23"/>
      <c r="N87" s="25"/>
      <c r="O87" s="23"/>
      <c r="P87" s="23"/>
    </row>
    <row r="88" spans="1:17" x14ac:dyDescent="0.25">
      <c r="C88" s="114"/>
      <c r="K88" s="4"/>
      <c r="L88" s="4"/>
      <c r="M88" s="4"/>
      <c r="N88" s="23"/>
      <c r="O88" s="23"/>
      <c r="P88" s="23"/>
      <c r="Q88"/>
    </row>
    <row r="89" spans="1:17" ht="13.8" thickBot="1" x14ac:dyDescent="0.3">
      <c r="C89" s="114"/>
      <c r="K89" s="4"/>
      <c r="L89" s="4"/>
      <c r="M89" s="4"/>
      <c r="N89" s="23"/>
      <c r="O89" s="23"/>
      <c r="P89" s="23"/>
      <c r="Q89"/>
    </row>
    <row r="90" spans="1:17" ht="13.8" thickTop="1" x14ac:dyDescent="0.25">
      <c r="A90" s="893"/>
      <c r="B90" s="452"/>
      <c r="C90" s="453" t="s">
        <v>127</v>
      </c>
      <c r="D90" s="454" t="s">
        <v>127</v>
      </c>
      <c r="E90" s="454" t="s">
        <v>127</v>
      </c>
      <c r="K90" s="455" t="s">
        <v>547</v>
      </c>
      <c r="L90" s="456" t="s">
        <v>9</v>
      </c>
      <c r="M90" s="457" t="s">
        <v>1073</v>
      </c>
      <c r="N90" s="456" t="s">
        <v>686</v>
      </c>
      <c r="O90" s="458"/>
      <c r="P90" s="457"/>
    </row>
    <row r="91" spans="1:17" ht="13.8" thickBot="1" x14ac:dyDescent="0.3">
      <c r="A91" s="894" t="s">
        <v>128</v>
      </c>
      <c r="B91" s="459"/>
      <c r="C91" s="460" t="s">
        <v>347</v>
      </c>
      <c r="D91" s="460" t="s">
        <v>722</v>
      </c>
      <c r="E91" s="461" t="s">
        <v>737</v>
      </c>
      <c r="K91" s="462" t="s">
        <v>909</v>
      </c>
      <c r="L91" s="462" t="s">
        <v>910</v>
      </c>
      <c r="M91" s="461" t="s">
        <v>1075</v>
      </c>
      <c r="N91" s="463" t="s">
        <v>1075</v>
      </c>
      <c r="O91" s="464" t="s">
        <v>1074</v>
      </c>
      <c r="P91" s="462"/>
    </row>
    <row r="92" spans="1:17" ht="13.8" thickTop="1" x14ac:dyDescent="0.25">
      <c r="A92" s="910">
        <v>5112</v>
      </c>
      <c r="B92" s="472" t="s">
        <v>688</v>
      </c>
      <c r="C92" s="476">
        <v>558256.29</v>
      </c>
      <c r="D92" s="468">
        <v>673834.28</v>
      </c>
      <c r="E92" s="468">
        <v>754753.01</v>
      </c>
      <c r="K92" s="496">
        <f t="shared" ref="K92:K110" si="16">+M9</f>
        <v>1126021</v>
      </c>
      <c r="L92" s="496">
        <f t="shared" ref="L92:L110" si="17">+O9</f>
        <v>1184459</v>
      </c>
      <c r="M92" s="471">
        <f t="shared" ref="M92:M124" si="18">+L92-K92</f>
        <v>58438</v>
      </c>
      <c r="N92" s="477">
        <f t="shared" ref="N92:N102" si="19">IF(K92+L92&lt;&gt;0,IF(K92&lt;&gt;0,IF(M92&lt;&gt;0,ROUND((+M92/K92),4),""),1),"")</f>
        <v>5.1900000000000002E-2</v>
      </c>
      <c r="O92" s="470" t="s">
        <v>1664</v>
      </c>
      <c r="P92" s="471"/>
    </row>
    <row r="93" spans="1:17" x14ac:dyDescent="0.25">
      <c r="A93" s="910">
        <v>5113</v>
      </c>
      <c r="B93" s="472" t="s">
        <v>14</v>
      </c>
      <c r="C93" s="476">
        <v>10745.01</v>
      </c>
      <c r="D93" s="468">
        <f>105.98+10950.18</f>
        <v>11056.16</v>
      </c>
      <c r="E93" s="468">
        <v>10477.32</v>
      </c>
      <c r="K93" s="496">
        <f t="shared" si="16"/>
        <v>14556</v>
      </c>
      <c r="L93" s="496">
        <f t="shared" si="17"/>
        <v>14857</v>
      </c>
      <c r="M93" s="471">
        <f t="shared" si="18"/>
        <v>301</v>
      </c>
      <c r="N93" s="477">
        <f t="shared" si="19"/>
        <v>2.07E-2</v>
      </c>
      <c r="O93" s="470"/>
      <c r="P93" s="471"/>
    </row>
    <row r="94" spans="1:17" x14ac:dyDescent="0.25">
      <c r="A94" s="907">
        <v>5114</v>
      </c>
      <c r="B94" s="472" t="s">
        <v>160</v>
      </c>
      <c r="C94" s="476">
        <f>95.03+22206.8</f>
        <v>22301.829999999998</v>
      </c>
      <c r="D94" s="476">
        <f>15705.21+1162.29</f>
        <v>16867.5</v>
      </c>
      <c r="E94" s="476">
        <v>22998.86</v>
      </c>
      <c r="K94" s="496">
        <f t="shared" si="16"/>
        <v>28000</v>
      </c>
      <c r="L94" s="496">
        <f t="shared" si="17"/>
        <v>15000</v>
      </c>
      <c r="M94" s="471">
        <f t="shared" si="18"/>
        <v>-13000</v>
      </c>
      <c r="N94" s="477">
        <f t="shared" si="19"/>
        <v>-0.46429999999999999</v>
      </c>
      <c r="O94" s="470" t="s">
        <v>1729</v>
      </c>
      <c r="P94" s="471"/>
    </row>
    <row r="95" spans="1:17" x14ac:dyDescent="0.25">
      <c r="A95" s="907">
        <v>5132</v>
      </c>
      <c r="B95" s="472" t="s">
        <v>161</v>
      </c>
      <c r="C95" s="476">
        <v>133928.87</v>
      </c>
      <c r="D95" s="476">
        <v>109534.24</v>
      </c>
      <c r="E95" s="476">
        <v>122687.36</v>
      </c>
      <c r="K95" s="496">
        <f t="shared" si="16"/>
        <v>142000</v>
      </c>
      <c r="L95" s="496">
        <f t="shared" si="17"/>
        <v>142000</v>
      </c>
      <c r="M95" s="471">
        <f t="shared" si="18"/>
        <v>0</v>
      </c>
      <c r="N95" s="477" t="str">
        <f t="shared" si="19"/>
        <v/>
      </c>
      <c r="O95" s="470"/>
      <c r="P95" s="471"/>
    </row>
    <row r="96" spans="1:17" x14ac:dyDescent="0.25">
      <c r="A96" s="907">
        <v>5135</v>
      </c>
      <c r="B96" s="472" t="s">
        <v>162</v>
      </c>
      <c r="C96" s="476">
        <v>13416.61</v>
      </c>
      <c r="D96" s="476">
        <v>8222.52</v>
      </c>
      <c r="E96" s="476">
        <v>6134.34</v>
      </c>
      <c r="K96" s="496">
        <f t="shared" si="16"/>
        <v>8000</v>
      </c>
      <c r="L96" s="496">
        <f t="shared" si="17"/>
        <v>8000</v>
      </c>
      <c r="M96" s="471">
        <f t="shared" si="18"/>
        <v>0</v>
      </c>
      <c r="N96" s="477" t="str">
        <f t="shared" si="19"/>
        <v/>
      </c>
      <c r="O96" s="470"/>
      <c r="P96" s="471"/>
    </row>
    <row r="97" spans="1:16" x14ac:dyDescent="0.25">
      <c r="A97" s="907">
        <v>5141</v>
      </c>
      <c r="B97" s="472" t="s">
        <v>163</v>
      </c>
      <c r="C97" s="476">
        <v>76334.600000000006</v>
      </c>
      <c r="D97" s="476">
        <v>84591.45</v>
      </c>
      <c r="E97" s="476">
        <v>89808.42</v>
      </c>
      <c r="K97" s="496">
        <f t="shared" si="16"/>
        <v>102817</v>
      </c>
      <c r="L97" s="496">
        <f t="shared" si="17"/>
        <v>101760</v>
      </c>
      <c r="M97" s="471">
        <f t="shared" si="18"/>
        <v>-1057</v>
      </c>
      <c r="N97" s="477">
        <f t="shared" si="19"/>
        <v>-1.03E-2</v>
      </c>
      <c r="O97" s="470"/>
      <c r="P97" s="471"/>
    </row>
    <row r="98" spans="1:16" x14ac:dyDescent="0.25">
      <c r="A98" s="907">
        <v>5142</v>
      </c>
      <c r="B98" s="472" t="s">
        <v>164</v>
      </c>
      <c r="C98" s="476">
        <v>9209.4</v>
      </c>
      <c r="D98" s="476">
        <v>9918.3799999999992</v>
      </c>
      <c r="E98" s="476">
        <v>10383.99</v>
      </c>
      <c r="K98" s="496">
        <f t="shared" si="16"/>
        <v>15446</v>
      </c>
      <c r="L98" s="496">
        <f t="shared" si="17"/>
        <v>15446</v>
      </c>
      <c r="M98" s="471">
        <f t="shared" si="18"/>
        <v>0</v>
      </c>
      <c r="N98" s="477" t="str">
        <f t="shared" si="19"/>
        <v/>
      </c>
      <c r="O98" s="470"/>
      <c r="P98" s="471"/>
    </row>
    <row r="99" spans="1:16" x14ac:dyDescent="0.25">
      <c r="A99" s="907">
        <v>5143</v>
      </c>
      <c r="B99" s="472" t="s">
        <v>165</v>
      </c>
      <c r="C99" s="476">
        <v>36513.300000000003</v>
      </c>
      <c r="D99" s="476">
        <v>45805.83</v>
      </c>
      <c r="E99" s="476">
        <v>52853.36</v>
      </c>
      <c r="K99" s="496">
        <f t="shared" si="16"/>
        <v>72095</v>
      </c>
      <c r="L99" s="496">
        <f t="shared" si="17"/>
        <v>72095</v>
      </c>
      <c r="M99" s="471">
        <f t="shared" si="18"/>
        <v>0</v>
      </c>
      <c r="N99" s="477" t="str">
        <f t="shared" si="19"/>
        <v/>
      </c>
      <c r="O99" s="470"/>
      <c r="P99" s="471"/>
    </row>
    <row r="100" spans="1:16" x14ac:dyDescent="0.25">
      <c r="A100" s="907">
        <v>5144</v>
      </c>
      <c r="B100" s="472" t="s">
        <v>157</v>
      </c>
      <c r="C100" s="476">
        <v>3200</v>
      </c>
      <c r="D100" s="476">
        <v>3200</v>
      </c>
      <c r="E100" s="476">
        <v>2900</v>
      </c>
      <c r="K100" s="496">
        <f t="shared" si="16"/>
        <v>700</v>
      </c>
      <c r="L100" s="496">
        <f t="shared" si="17"/>
        <v>700</v>
      </c>
      <c r="M100" s="471">
        <f t="shared" si="18"/>
        <v>0</v>
      </c>
      <c r="N100" s="477" t="str">
        <f t="shared" si="19"/>
        <v/>
      </c>
      <c r="O100" s="470"/>
      <c r="P100" s="471"/>
    </row>
    <row r="101" spans="1:16" x14ac:dyDescent="0.25">
      <c r="A101" s="907">
        <v>5145</v>
      </c>
      <c r="B101" s="472" t="s">
        <v>602</v>
      </c>
      <c r="C101" s="478">
        <v>2988.86</v>
      </c>
      <c r="D101" s="478">
        <v>3254.28</v>
      </c>
      <c r="E101" s="478">
        <v>3467.77</v>
      </c>
      <c r="K101" s="496">
        <f t="shared" si="16"/>
        <v>4000</v>
      </c>
      <c r="L101" s="496">
        <f t="shared" si="17"/>
        <v>4280</v>
      </c>
      <c r="M101" s="471">
        <f t="shared" si="18"/>
        <v>280</v>
      </c>
      <c r="N101" s="477">
        <f t="shared" si="19"/>
        <v>7.0000000000000007E-2</v>
      </c>
      <c r="O101" s="470" t="s">
        <v>1664</v>
      </c>
      <c r="P101" s="471"/>
    </row>
    <row r="102" spans="1:16" x14ac:dyDescent="0.25">
      <c r="A102" s="907">
        <v>5147</v>
      </c>
      <c r="B102" s="472" t="s">
        <v>1054</v>
      </c>
      <c r="C102" s="478"/>
      <c r="D102" s="478"/>
      <c r="E102" s="478"/>
      <c r="K102" s="496">
        <f t="shared" si="16"/>
        <v>4000</v>
      </c>
      <c r="L102" s="496">
        <f t="shared" si="17"/>
        <v>4000</v>
      </c>
      <c r="M102" s="471">
        <f t="shared" si="18"/>
        <v>0</v>
      </c>
      <c r="N102" s="477" t="str">
        <f t="shared" si="19"/>
        <v/>
      </c>
      <c r="O102" s="470"/>
      <c r="P102" s="471"/>
    </row>
    <row r="103" spans="1:16" x14ac:dyDescent="0.25">
      <c r="A103" s="907">
        <v>5148</v>
      </c>
      <c r="B103" s="472" t="s">
        <v>1334</v>
      </c>
      <c r="C103" s="478"/>
      <c r="D103" s="478"/>
      <c r="E103" s="478"/>
      <c r="K103" s="496">
        <f t="shared" si="16"/>
        <v>1500</v>
      </c>
      <c r="L103" s="496">
        <f t="shared" si="17"/>
        <v>1500</v>
      </c>
      <c r="M103" s="471"/>
      <c r="N103" s="477"/>
      <c r="O103" s="470"/>
      <c r="P103" s="471"/>
    </row>
    <row r="104" spans="1:16" x14ac:dyDescent="0.25">
      <c r="A104" s="907">
        <v>5149</v>
      </c>
      <c r="B104" s="472" t="s">
        <v>674</v>
      </c>
      <c r="C104" s="478"/>
      <c r="D104" s="478"/>
      <c r="E104" s="478"/>
      <c r="K104" s="496">
        <f t="shared" si="16"/>
        <v>3000</v>
      </c>
      <c r="L104" s="496">
        <f t="shared" si="17"/>
        <v>3000</v>
      </c>
      <c r="M104" s="471"/>
      <c r="N104" s="477"/>
      <c r="O104" s="470"/>
      <c r="P104" s="471"/>
    </row>
    <row r="105" spans="1:16" x14ac:dyDescent="0.25">
      <c r="A105" s="907">
        <v>5151</v>
      </c>
      <c r="B105" s="472" t="s">
        <v>380</v>
      </c>
      <c r="C105" s="478">
        <v>44408.6</v>
      </c>
      <c r="D105" s="478">
        <v>8051.52</v>
      </c>
      <c r="E105" s="478">
        <v>7516.41</v>
      </c>
      <c r="K105" s="496">
        <f t="shared" si="16"/>
        <v>0</v>
      </c>
      <c r="L105" s="496">
        <f t="shared" si="17"/>
        <v>0</v>
      </c>
      <c r="M105" s="471">
        <f t="shared" si="18"/>
        <v>0</v>
      </c>
      <c r="N105" s="477" t="str">
        <f t="shared" ref="N105:N119" si="20">IF(K105+L105&lt;&gt;0,IF(K105&lt;&gt;0,IF(M105&lt;&gt;0,ROUND((+M105/K105),4),""),1),"")</f>
        <v/>
      </c>
      <c r="O105" s="470"/>
      <c r="P105" s="471"/>
    </row>
    <row r="106" spans="1:16" x14ac:dyDescent="0.25">
      <c r="A106" s="907">
        <v>5152</v>
      </c>
      <c r="B106" s="472" t="s">
        <v>381</v>
      </c>
      <c r="C106" s="478">
        <v>4330.43</v>
      </c>
      <c r="D106" s="478">
        <v>716.25</v>
      </c>
      <c r="E106" s="478">
        <v>751.63</v>
      </c>
      <c r="K106" s="496">
        <f t="shared" si="16"/>
        <v>0</v>
      </c>
      <c r="L106" s="496">
        <f t="shared" si="17"/>
        <v>0</v>
      </c>
      <c r="M106" s="471">
        <f t="shared" si="18"/>
        <v>0</v>
      </c>
      <c r="N106" s="477" t="str">
        <f t="shared" si="20"/>
        <v/>
      </c>
      <c r="O106" s="470"/>
      <c r="P106" s="471"/>
    </row>
    <row r="107" spans="1:16" x14ac:dyDescent="0.25">
      <c r="A107" s="907">
        <v>5153</v>
      </c>
      <c r="B107" s="472" t="s">
        <v>217</v>
      </c>
      <c r="C107" s="478">
        <v>2110.3200000000002</v>
      </c>
      <c r="D107" s="478">
        <v>237.36</v>
      </c>
      <c r="E107" s="478">
        <v>249.28</v>
      </c>
      <c r="K107" s="496">
        <f t="shared" si="16"/>
        <v>0</v>
      </c>
      <c r="L107" s="496">
        <f t="shared" si="17"/>
        <v>0</v>
      </c>
      <c r="M107" s="471">
        <f t="shared" si="18"/>
        <v>0</v>
      </c>
      <c r="N107" s="477" t="str">
        <f t="shared" si="20"/>
        <v/>
      </c>
      <c r="O107" s="470"/>
      <c r="P107" s="471"/>
    </row>
    <row r="108" spans="1:16" x14ac:dyDescent="0.25">
      <c r="A108" s="907">
        <v>5191</v>
      </c>
      <c r="B108" s="472" t="s">
        <v>445</v>
      </c>
      <c r="C108" s="478">
        <v>1250</v>
      </c>
      <c r="D108" s="478">
        <v>1250</v>
      </c>
      <c r="E108" s="478">
        <v>2000</v>
      </c>
      <c r="K108" s="496">
        <f t="shared" si="16"/>
        <v>7500</v>
      </c>
      <c r="L108" s="496">
        <f t="shared" si="17"/>
        <v>7500</v>
      </c>
      <c r="M108" s="471">
        <f t="shared" si="18"/>
        <v>0</v>
      </c>
      <c r="N108" s="477" t="str">
        <f t="shared" si="20"/>
        <v/>
      </c>
      <c r="O108" s="470"/>
      <c r="P108" s="471"/>
    </row>
    <row r="109" spans="1:16" x14ac:dyDescent="0.25">
      <c r="A109" s="907">
        <v>5193</v>
      </c>
      <c r="B109" s="472" t="s">
        <v>291</v>
      </c>
      <c r="C109" s="478"/>
      <c r="D109" s="478"/>
      <c r="E109" s="478"/>
      <c r="K109" s="496">
        <f t="shared" si="16"/>
        <v>0</v>
      </c>
      <c r="L109" s="496">
        <f t="shared" si="17"/>
        <v>0</v>
      </c>
      <c r="M109" s="471">
        <f t="shared" si="18"/>
        <v>0</v>
      </c>
      <c r="N109" s="477" t="str">
        <f t="shared" si="20"/>
        <v/>
      </c>
      <c r="O109" s="470"/>
      <c r="P109" s="471"/>
    </row>
    <row r="110" spans="1:16" x14ac:dyDescent="0.25">
      <c r="A110" s="907">
        <v>5195</v>
      </c>
      <c r="B110" s="472" t="s">
        <v>166</v>
      </c>
      <c r="C110" s="478">
        <v>15543.38</v>
      </c>
      <c r="D110" s="478">
        <v>42221.279999999999</v>
      </c>
      <c r="E110" s="478">
        <v>32224.55</v>
      </c>
      <c r="K110" s="496">
        <f t="shared" si="16"/>
        <v>43000</v>
      </c>
      <c r="L110" s="496">
        <f t="shared" si="17"/>
        <v>43000</v>
      </c>
      <c r="M110" s="471">
        <f t="shared" si="18"/>
        <v>0</v>
      </c>
      <c r="N110" s="477" t="str">
        <f t="shared" si="20"/>
        <v/>
      </c>
      <c r="O110" s="470"/>
      <c r="P110" s="471"/>
    </row>
    <row r="111" spans="1:16" x14ac:dyDescent="0.25">
      <c r="A111" s="907">
        <v>5242</v>
      </c>
      <c r="B111" s="472" t="s">
        <v>573</v>
      </c>
      <c r="C111" s="476">
        <v>1923.55</v>
      </c>
      <c r="D111" s="476">
        <v>1658.62</v>
      </c>
      <c r="E111" s="476">
        <v>1894.84</v>
      </c>
      <c r="K111" s="496">
        <f t="shared" ref="K111:K119" si="21">+M30</f>
        <v>1750</v>
      </c>
      <c r="L111" s="496">
        <f t="shared" ref="L111:L119" si="22">+O30</f>
        <v>1750</v>
      </c>
      <c r="M111" s="471">
        <f t="shared" si="18"/>
        <v>0</v>
      </c>
      <c r="N111" s="477" t="str">
        <f t="shared" si="20"/>
        <v/>
      </c>
      <c r="O111" s="470"/>
      <c r="P111" s="471"/>
    </row>
    <row r="112" spans="1:16" x14ac:dyDescent="0.25">
      <c r="A112" s="907">
        <v>5247</v>
      </c>
      <c r="B112" s="472" t="s">
        <v>1053</v>
      </c>
      <c r="C112" s="476"/>
      <c r="D112" s="476"/>
      <c r="E112" s="476"/>
      <c r="K112" s="496">
        <f t="shared" si="21"/>
        <v>25100</v>
      </c>
      <c r="L112" s="496">
        <f t="shared" si="22"/>
        <v>26000</v>
      </c>
      <c r="M112" s="471">
        <f t="shared" si="18"/>
        <v>900</v>
      </c>
      <c r="N112" s="477">
        <f t="shared" si="20"/>
        <v>3.5900000000000001E-2</v>
      </c>
      <c r="O112" s="470" t="s">
        <v>1730</v>
      </c>
      <c r="P112" s="471"/>
    </row>
    <row r="113" spans="1:16" x14ac:dyDescent="0.25">
      <c r="A113" s="907">
        <v>5250</v>
      </c>
      <c r="B113" s="472" t="s">
        <v>557</v>
      </c>
      <c r="C113" s="476">
        <v>27200.82</v>
      </c>
      <c r="D113" s="476">
        <v>21469.42</v>
      </c>
      <c r="E113" s="476">
        <v>28516.33</v>
      </c>
      <c r="K113" s="496">
        <f t="shared" si="21"/>
        <v>11000</v>
      </c>
      <c r="L113" s="496">
        <f t="shared" si="22"/>
        <v>14500</v>
      </c>
      <c r="M113" s="471">
        <f t="shared" si="18"/>
        <v>3500</v>
      </c>
      <c r="N113" s="477">
        <f t="shared" si="20"/>
        <v>0.31819999999999998</v>
      </c>
      <c r="O113" s="470" t="s">
        <v>1731</v>
      </c>
      <c r="P113" s="471"/>
    </row>
    <row r="114" spans="1:16" x14ac:dyDescent="0.25">
      <c r="A114" s="907">
        <v>5260</v>
      </c>
      <c r="B114" s="472" t="s">
        <v>860</v>
      </c>
      <c r="C114" s="484"/>
      <c r="D114" s="484"/>
      <c r="E114" s="484"/>
      <c r="K114" s="496">
        <f t="shared" si="21"/>
        <v>1360</v>
      </c>
      <c r="L114" s="496">
        <f t="shared" si="22"/>
        <v>1360</v>
      </c>
      <c r="M114" s="471">
        <f t="shared" si="18"/>
        <v>0</v>
      </c>
      <c r="N114" s="477" t="str">
        <f t="shared" si="20"/>
        <v/>
      </c>
      <c r="O114" s="470"/>
      <c r="P114" s="471"/>
    </row>
    <row r="115" spans="1:16" x14ac:dyDescent="0.25">
      <c r="A115" s="907">
        <v>5314</v>
      </c>
      <c r="B115" s="472" t="s">
        <v>618</v>
      </c>
      <c r="C115" s="484"/>
      <c r="D115" s="484"/>
      <c r="E115" s="484"/>
      <c r="K115" s="496">
        <f t="shared" si="21"/>
        <v>8000</v>
      </c>
      <c r="L115" s="496">
        <f t="shared" si="22"/>
        <v>8000</v>
      </c>
      <c r="M115" s="471">
        <f t="shared" si="18"/>
        <v>0</v>
      </c>
      <c r="N115" s="477" t="str">
        <f t="shared" si="20"/>
        <v/>
      </c>
      <c r="O115" s="471"/>
      <c r="P115" s="471"/>
    </row>
    <row r="116" spans="1:16" x14ac:dyDescent="0.25">
      <c r="A116" s="907">
        <v>5315</v>
      </c>
      <c r="B116" s="472" t="s">
        <v>723</v>
      </c>
      <c r="C116" s="484">
        <v>11637.02</v>
      </c>
      <c r="D116" s="484">
        <v>0</v>
      </c>
      <c r="E116" s="484">
        <v>3445.6</v>
      </c>
      <c r="K116" s="496">
        <f t="shared" si="21"/>
        <v>0</v>
      </c>
      <c r="L116" s="496">
        <f t="shared" si="22"/>
        <v>0</v>
      </c>
      <c r="M116" s="471">
        <f t="shared" si="18"/>
        <v>0</v>
      </c>
      <c r="N116" s="477" t="str">
        <f t="shared" si="20"/>
        <v/>
      </c>
      <c r="O116" s="470"/>
      <c r="P116" s="471"/>
    </row>
    <row r="117" spans="1:16" x14ac:dyDescent="0.25">
      <c r="A117" s="907">
        <v>5318</v>
      </c>
      <c r="B117" s="472" t="s">
        <v>168</v>
      </c>
      <c r="C117" s="476">
        <v>389.48</v>
      </c>
      <c r="D117" s="476">
        <v>414.14</v>
      </c>
      <c r="E117" s="476">
        <v>251.14</v>
      </c>
      <c r="K117" s="496">
        <f t="shared" si="21"/>
        <v>300</v>
      </c>
      <c r="L117" s="496">
        <f t="shared" si="22"/>
        <v>300</v>
      </c>
      <c r="M117" s="471">
        <f t="shared" si="18"/>
        <v>0</v>
      </c>
      <c r="N117" s="477" t="str">
        <f t="shared" si="20"/>
        <v/>
      </c>
      <c r="O117" s="470"/>
      <c r="P117" s="471"/>
    </row>
    <row r="118" spans="1:16" x14ac:dyDescent="0.25">
      <c r="A118" s="907">
        <v>5319</v>
      </c>
      <c r="B118" s="472" t="s">
        <v>169</v>
      </c>
      <c r="C118" s="476">
        <v>377</v>
      </c>
      <c r="D118" s="476">
        <v>365</v>
      </c>
      <c r="E118" s="476">
        <v>225</v>
      </c>
      <c r="K118" s="496">
        <f t="shared" si="21"/>
        <v>300</v>
      </c>
      <c r="L118" s="496">
        <f t="shared" si="22"/>
        <v>300</v>
      </c>
      <c r="M118" s="471">
        <f t="shared" si="18"/>
        <v>0</v>
      </c>
      <c r="N118" s="477" t="str">
        <f t="shared" si="20"/>
        <v/>
      </c>
      <c r="O118" s="470"/>
      <c r="P118" s="471"/>
    </row>
    <row r="119" spans="1:16" ht="13.8" thickBot="1" x14ac:dyDescent="0.3">
      <c r="A119" s="907">
        <v>5341</v>
      </c>
      <c r="B119" s="472" t="s">
        <v>141</v>
      </c>
      <c r="C119" s="476">
        <v>9988.5499999999993</v>
      </c>
      <c r="D119" s="476">
        <v>9838.16</v>
      </c>
      <c r="E119" s="476">
        <v>9610.84</v>
      </c>
      <c r="K119" s="496">
        <f t="shared" si="21"/>
        <v>10500</v>
      </c>
      <c r="L119" s="496">
        <f t="shared" si="22"/>
        <v>10800</v>
      </c>
      <c r="M119" s="471">
        <f t="shared" si="18"/>
        <v>300</v>
      </c>
      <c r="N119" s="477">
        <f t="shared" si="20"/>
        <v>2.86E-2</v>
      </c>
      <c r="O119" s="471"/>
      <c r="P119" s="471"/>
    </row>
    <row r="120" spans="1:16" ht="13.8" thickTop="1" x14ac:dyDescent="0.25">
      <c r="A120" s="893"/>
      <c r="B120" s="452"/>
      <c r="C120" s="453" t="s">
        <v>127</v>
      </c>
      <c r="D120" s="454" t="s">
        <v>127</v>
      </c>
      <c r="E120" s="454" t="s">
        <v>127</v>
      </c>
      <c r="K120" s="455" t="s">
        <v>547</v>
      </c>
      <c r="L120" s="456" t="s">
        <v>9</v>
      </c>
      <c r="M120" s="457" t="s">
        <v>1073</v>
      </c>
      <c r="N120" s="456" t="s">
        <v>686</v>
      </c>
      <c r="O120" s="458"/>
      <c r="P120" s="457"/>
    </row>
    <row r="121" spans="1:16" ht="13.8" thickBot="1" x14ac:dyDescent="0.3">
      <c r="A121" s="894" t="s">
        <v>128</v>
      </c>
      <c r="B121" s="459"/>
      <c r="C121" s="460" t="s">
        <v>347</v>
      </c>
      <c r="D121" s="460" t="s">
        <v>722</v>
      </c>
      <c r="E121" s="461" t="s">
        <v>737</v>
      </c>
      <c r="K121" s="462" t="s">
        <v>909</v>
      </c>
      <c r="L121" s="462" t="s">
        <v>910</v>
      </c>
      <c r="M121" s="461" t="s">
        <v>1075</v>
      </c>
      <c r="N121" s="463" t="s">
        <v>1075</v>
      </c>
      <c r="O121" s="464" t="s">
        <v>1074</v>
      </c>
      <c r="P121" s="462"/>
    </row>
    <row r="122" spans="1:16" ht="13.8" thickTop="1" x14ac:dyDescent="0.25">
      <c r="A122" s="907">
        <v>5344</v>
      </c>
      <c r="B122" s="472" t="s">
        <v>142</v>
      </c>
      <c r="C122" s="476">
        <v>485.47</v>
      </c>
      <c r="D122" s="476">
        <v>433.04</v>
      </c>
      <c r="E122" s="476">
        <v>431.03</v>
      </c>
      <c r="K122" s="496">
        <f t="shared" ref="K122:K134" si="23">+M39</f>
        <v>550</v>
      </c>
      <c r="L122" s="496">
        <f t="shared" ref="L122:L134" si="24">+O39</f>
        <v>550</v>
      </c>
      <c r="M122" s="471">
        <f>+L122-K122</f>
        <v>0</v>
      </c>
      <c r="N122" s="477" t="str">
        <f>IF(K122+L122&lt;&gt;0,IF(K122&lt;&gt;0,IF(M122&lt;&gt;0,ROUND((+M122/K122),4),""),1),"")</f>
        <v/>
      </c>
      <c r="O122" s="471"/>
      <c r="P122" s="471"/>
    </row>
    <row r="123" spans="1:16" x14ac:dyDescent="0.25">
      <c r="A123" s="907">
        <v>5345</v>
      </c>
      <c r="B123" s="472" t="s">
        <v>143</v>
      </c>
      <c r="C123" s="476">
        <v>60</v>
      </c>
      <c r="D123" s="476">
        <v>312.44</v>
      </c>
      <c r="E123" s="476">
        <v>834.4</v>
      </c>
      <c r="K123" s="496">
        <f t="shared" si="23"/>
        <v>500</v>
      </c>
      <c r="L123" s="496">
        <f t="shared" si="24"/>
        <v>500</v>
      </c>
      <c r="M123" s="471">
        <f>+L123-K123</f>
        <v>0</v>
      </c>
      <c r="N123" s="477" t="str">
        <f>IF(K123+L123&lt;&gt;0,IF(K123&lt;&gt;0,IF(M123&lt;&gt;0,ROUND((+M123/K123),4),""),1),"")</f>
        <v/>
      </c>
      <c r="O123" s="470"/>
      <c r="P123" s="471"/>
    </row>
    <row r="124" spans="1:16" x14ac:dyDescent="0.25">
      <c r="A124" s="907">
        <v>5350</v>
      </c>
      <c r="B124" s="472" t="s">
        <v>442</v>
      </c>
      <c r="C124" s="468">
        <v>4888</v>
      </c>
      <c r="D124" s="468">
        <v>8902</v>
      </c>
      <c r="E124" s="468">
        <v>2516</v>
      </c>
      <c r="K124" s="475">
        <f t="shared" si="23"/>
        <v>2100</v>
      </c>
      <c r="L124" s="496">
        <f t="shared" si="24"/>
        <v>9900</v>
      </c>
      <c r="M124" s="471">
        <f t="shared" si="18"/>
        <v>7800</v>
      </c>
      <c r="N124" s="477">
        <f t="shared" ref="N124:N136" si="25">IF(K124+L124&lt;&gt;0,IF(K124&lt;&gt;0,IF(M124&lt;&gt;0,ROUND((+M124/K124),4),""),1),"")</f>
        <v>3.7143000000000002</v>
      </c>
      <c r="O124" s="470" t="s">
        <v>1868</v>
      </c>
      <c r="P124" s="471"/>
    </row>
    <row r="125" spans="1:16" x14ac:dyDescent="0.25">
      <c r="A125" s="907">
        <v>5451</v>
      </c>
      <c r="B125" s="472" t="s">
        <v>202</v>
      </c>
      <c r="C125" s="468">
        <v>151.84</v>
      </c>
      <c r="D125" s="468">
        <v>313.04000000000002</v>
      </c>
      <c r="E125" s="468">
        <v>240.78</v>
      </c>
      <c r="K125" s="475">
        <f t="shared" si="23"/>
        <v>300</v>
      </c>
      <c r="L125" s="496">
        <f t="shared" si="24"/>
        <v>300</v>
      </c>
      <c r="M125" s="471">
        <f t="shared" ref="M125:M136" si="26">+L125-K125</f>
        <v>0</v>
      </c>
      <c r="N125" s="477" t="str">
        <f t="shared" si="25"/>
        <v/>
      </c>
      <c r="O125" s="470"/>
      <c r="P125" s="471"/>
    </row>
    <row r="126" spans="1:16" x14ac:dyDescent="0.25">
      <c r="A126" s="907">
        <v>5480</v>
      </c>
      <c r="B126" s="472" t="s">
        <v>555</v>
      </c>
      <c r="C126" s="468">
        <f>68522.52-C127</f>
        <v>31988.520000000004</v>
      </c>
      <c r="D126" s="468">
        <v>20804.080000000002</v>
      </c>
      <c r="E126" s="468">
        <v>25094.28</v>
      </c>
      <c r="K126" s="475">
        <f t="shared" si="23"/>
        <v>27000</v>
      </c>
      <c r="L126" s="496">
        <f t="shared" si="24"/>
        <v>28000</v>
      </c>
      <c r="M126" s="471">
        <f t="shared" si="26"/>
        <v>1000</v>
      </c>
      <c r="N126" s="477">
        <f t="shared" si="25"/>
        <v>3.6999999999999998E-2</v>
      </c>
      <c r="O126" s="471" t="s">
        <v>1732</v>
      </c>
      <c r="P126" s="471"/>
    </row>
    <row r="127" spans="1:16" x14ac:dyDescent="0.25">
      <c r="A127" s="907">
        <v>5481</v>
      </c>
      <c r="B127" s="472" t="s">
        <v>170</v>
      </c>
      <c r="C127" s="468">
        <v>36534</v>
      </c>
      <c r="D127" s="468">
        <v>40525.1</v>
      </c>
      <c r="E127" s="468">
        <v>37560.18</v>
      </c>
      <c r="K127" s="475">
        <f t="shared" si="23"/>
        <v>28000</v>
      </c>
      <c r="L127" s="496">
        <f t="shared" si="24"/>
        <v>33000</v>
      </c>
      <c r="M127" s="471">
        <f t="shared" si="26"/>
        <v>5000</v>
      </c>
      <c r="N127" s="477">
        <f t="shared" si="25"/>
        <v>0.17860000000000001</v>
      </c>
      <c r="O127" s="471"/>
      <c r="P127" s="471"/>
    </row>
    <row r="128" spans="1:16" x14ac:dyDescent="0.25">
      <c r="A128" s="907">
        <v>5501</v>
      </c>
      <c r="B128" s="472" t="s">
        <v>172</v>
      </c>
      <c r="C128" s="476"/>
      <c r="D128" s="468">
        <v>1000</v>
      </c>
      <c r="E128" s="468"/>
      <c r="K128" s="475">
        <f t="shared" si="23"/>
        <v>0</v>
      </c>
      <c r="L128" s="496">
        <f t="shared" si="24"/>
        <v>0</v>
      </c>
      <c r="M128" s="471">
        <f t="shared" si="26"/>
        <v>0</v>
      </c>
      <c r="N128" s="477" t="str">
        <f t="shared" si="25"/>
        <v/>
      </c>
      <c r="O128" s="470"/>
      <c r="P128" s="471"/>
    </row>
    <row r="129" spans="1:17" x14ac:dyDescent="0.25">
      <c r="A129" s="907">
        <v>5580</v>
      </c>
      <c r="B129" s="472" t="s">
        <v>145</v>
      </c>
      <c r="C129" s="476">
        <v>17942.53</v>
      </c>
      <c r="D129" s="476">
        <v>17659.2</v>
      </c>
      <c r="E129" s="476">
        <v>20857.36</v>
      </c>
      <c r="K129" s="475">
        <f t="shared" si="23"/>
        <v>15000</v>
      </c>
      <c r="L129" s="496">
        <f t="shared" si="24"/>
        <v>16000</v>
      </c>
      <c r="M129" s="471">
        <f t="shared" si="26"/>
        <v>1000</v>
      </c>
      <c r="N129" s="477">
        <f t="shared" si="25"/>
        <v>6.6699999999999995E-2</v>
      </c>
      <c r="O129" s="470" t="s">
        <v>1733</v>
      </c>
      <c r="P129" s="471"/>
    </row>
    <row r="130" spans="1:17" x14ac:dyDescent="0.25">
      <c r="A130" s="907">
        <v>5581</v>
      </c>
      <c r="B130" s="472" t="s">
        <v>146</v>
      </c>
      <c r="C130" s="476">
        <v>22.95</v>
      </c>
      <c r="D130" s="476">
        <v>144.53</v>
      </c>
      <c r="E130" s="476">
        <v>40</v>
      </c>
      <c r="K130" s="475">
        <f t="shared" si="23"/>
        <v>400</v>
      </c>
      <c r="L130" s="496">
        <f t="shared" si="24"/>
        <v>400</v>
      </c>
      <c r="M130" s="471">
        <f t="shared" si="26"/>
        <v>0</v>
      </c>
      <c r="N130" s="477" t="str">
        <f t="shared" si="25"/>
        <v/>
      </c>
      <c r="O130" s="470"/>
      <c r="P130" s="471"/>
    </row>
    <row r="131" spans="1:17" x14ac:dyDescent="0.25">
      <c r="A131" s="907">
        <v>5582</v>
      </c>
      <c r="B131" s="472" t="s">
        <v>173</v>
      </c>
      <c r="C131" s="476">
        <v>13164.59</v>
      </c>
      <c r="D131" s="476">
        <v>14612.48</v>
      </c>
      <c r="E131" s="476">
        <v>13045.12</v>
      </c>
      <c r="K131" s="475">
        <f t="shared" si="23"/>
        <v>18100</v>
      </c>
      <c r="L131" s="496">
        <f t="shared" si="24"/>
        <v>19000</v>
      </c>
      <c r="M131" s="471">
        <f t="shared" si="26"/>
        <v>900</v>
      </c>
      <c r="N131" s="477">
        <f t="shared" si="25"/>
        <v>4.9700000000000001E-2</v>
      </c>
      <c r="O131" s="470" t="s">
        <v>1664</v>
      </c>
      <c r="P131" s="471"/>
    </row>
    <row r="132" spans="1:17" x14ac:dyDescent="0.25">
      <c r="A132" s="907">
        <v>5585</v>
      </c>
      <c r="B132" s="472" t="s">
        <v>724</v>
      </c>
      <c r="C132" s="468"/>
      <c r="D132" s="476">
        <v>8296</v>
      </c>
      <c r="E132" s="476">
        <v>5859.25</v>
      </c>
      <c r="K132" s="475">
        <f t="shared" si="23"/>
        <v>5900</v>
      </c>
      <c r="L132" s="496">
        <f t="shared" si="24"/>
        <v>5900</v>
      </c>
      <c r="M132" s="471">
        <f t="shared" si="26"/>
        <v>0</v>
      </c>
      <c r="N132" s="477" t="str">
        <f t="shared" si="25"/>
        <v/>
      </c>
      <c r="O132" s="470"/>
      <c r="P132" s="471"/>
    </row>
    <row r="133" spans="1:17" x14ac:dyDescent="0.25">
      <c r="A133" s="907">
        <v>5710</v>
      </c>
      <c r="B133" s="472" t="s">
        <v>556</v>
      </c>
      <c r="C133" s="468">
        <v>4091</v>
      </c>
      <c r="D133" s="476">
        <v>4364.99</v>
      </c>
      <c r="E133" s="476">
        <v>2125.65</v>
      </c>
      <c r="K133" s="475">
        <f t="shared" si="23"/>
        <v>1900</v>
      </c>
      <c r="L133" s="496">
        <f t="shared" si="24"/>
        <v>1900</v>
      </c>
      <c r="M133" s="471">
        <f t="shared" si="26"/>
        <v>0</v>
      </c>
      <c r="N133" s="477" t="str">
        <f t="shared" si="25"/>
        <v/>
      </c>
      <c r="O133" s="470"/>
      <c r="P133" s="471"/>
    </row>
    <row r="134" spans="1:17" x14ac:dyDescent="0.25">
      <c r="A134" s="907">
        <v>5730</v>
      </c>
      <c r="B134" s="472" t="s">
        <v>147</v>
      </c>
      <c r="C134" s="476">
        <v>1430</v>
      </c>
      <c r="D134" s="468">
        <v>1708</v>
      </c>
      <c r="E134" s="468">
        <v>1620</v>
      </c>
      <c r="K134" s="475">
        <f t="shared" si="23"/>
        <v>2450</v>
      </c>
      <c r="L134" s="496">
        <f t="shared" si="24"/>
        <v>2700</v>
      </c>
      <c r="M134" s="471">
        <f t="shared" si="26"/>
        <v>250</v>
      </c>
      <c r="N134" s="477">
        <f t="shared" si="25"/>
        <v>0.10199999999999999</v>
      </c>
      <c r="O134" s="470" t="s">
        <v>1732</v>
      </c>
      <c r="P134" s="471"/>
    </row>
    <row r="135" spans="1:17" ht="13.8" thickBot="1" x14ac:dyDescent="0.3">
      <c r="A135" s="907">
        <v>5740</v>
      </c>
      <c r="B135" s="472" t="s">
        <v>154</v>
      </c>
      <c r="C135" s="474">
        <v>11660</v>
      </c>
      <c r="D135" s="474">
        <v>15136</v>
      </c>
      <c r="E135" s="474">
        <v>18476</v>
      </c>
      <c r="K135" s="475">
        <f>+M53</f>
        <v>28800</v>
      </c>
      <c r="L135" s="496">
        <f>+O53</f>
        <v>34000</v>
      </c>
      <c r="M135" s="471">
        <f t="shared" si="26"/>
        <v>5200</v>
      </c>
      <c r="N135" s="477">
        <f t="shared" si="25"/>
        <v>0.18060000000000001</v>
      </c>
      <c r="O135" s="470" t="s">
        <v>1732</v>
      </c>
      <c r="P135" s="471"/>
    </row>
    <row r="136" spans="1:17" ht="13.8" thickBot="1" x14ac:dyDescent="0.3">
      <c r="A136" s="907">
        <v>5800</v>
      </c>
      <c r="B136" s="472" t="s">
        <v>609</v>
      </c>
      <c r="C136" s="474">
        <v>36895.4</v>
      </c>
      <c r="D136" s="474">
        <v>39483.5</v>
      </c>
      <c r="E136" s="474">
        <v>39102.5</v>
      </c>
      <c r="K136" s="475">
        <f>+M56</f>
        <v>53000</v>
      </c>
      <c r="L136" s="496">
        <f>+O56</f>
        <v>54000</v>
      </c>
      <c r="M136" s="471">
        <f t="shared" si="26"/>
        <v>1000</v>
      </c>
      <c r="N136" s="477">
        <f t="shared" si="25"/>
        <v>1.89E-2</v>
      </c>
      <c r="O136" s="470"/>
      <c r="P136" s="471"/>
    </row>
    <row r="138" spans="1:17" x14ac:dyDescent="0.25">
      <c r="A138" s="876"/>
      <c r="B138" s="4" t="s">
        <v>1363</v>
      </c>
      <c r="C138" s="23"/>
      <c r="D138" s="23"/>
      <c r="E138" s="23"/>
      <c r="F138" s="23"/>
      <c r="G138" s="23"/>
      <c r="K138" s="742">
        <f>SUM(K92:K136)</f>
        <v>1814945</v>
      </c>
      <c r="L138" s="742">
        <f>SUM(L92:L136)</f>
        <v>1886757</v>
      </c>
      <c r="M138" s="202">
        <f>+L138-K138</f>
        <v>71812</v>
      </c>
      <c r="N138" s="743">
        <f>IF(K138+L138&lt;&gt;0,IF(K138&lt;&gt;0,IF(M138&lt;&gt;0,ROUND((+M138/K138),4),""),1),"")</f>
        <v>3.9600000000000003E-2</v>
      </c>
    </row>
    <row r="139" spans="1:17" s="45" customFormat="1" ht="13.8" x14ac:dyDescent="0.25">
      <c r="A139" s="875"/>
      <c r="C139" s="141"/>
      <c r="D139" s="141"/>
      <c r="E139" s="141"/>
      <c r="F139" s="141"/>
      <c r="G139" s="141"/>
      <c r="H139" s="141"/>
      <c r="I139" s="141"/>
      <c r="J139" s="141"/>
      <c r="K139" s="141"/>
      <c r="L139" s="141"/>
      <c r="M139" s="141"/>
      <c r="O139" s="141"/>
      <c r="P139" s="141"/>
      <c r="Q139" s="141"/>
    </row>
  </sheetData>
  <phoneticPr fontId="0" type="noConversion"/>
  <hyperlinks>
    <hyperlink ref="A1" location="'Working Budget with funding det'!A1" display="Main " xr:uid="{00000000-0004-0000-1900-000000000000}"/>
    <hyperlink ref="B1" location="'Table of Contents'!A1" display="TOC" xr:uid="{00000000-0004-0000-1900-000001000000}"/>
  </hyperlinks>
  <pageMargins left="0.75" right="0.75" top="1" bottom="1" header="0.5" footer="0.5"/>
  <pageSetup scale="96" fitToHeight="5" orientation="landscape" r:id="rId1"/>
  <headerFooter alignWithMargins="0">
    <oddFooter>&amp;L&amp;D     &amp;T&amp;C&amp;F&amp;R&amp;A  &amp;P</oddFooter>
  </headerFooter>
  <rowBreaks count="2" manualBreakCount="2">
    <brk id="64" max="15" man="1"/>
    <brk id="89" max="15"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T159"/>
  <sheetViews>
    <sheetView topLeftCell="A20" zoomScaleNormal="100" workbookViewId="0">
      <selection activeCell="P40" sqref="P40"/>
    </sheetView>
  </sheetViews>
  <sheetFormatPr defaultRowHeight="13.2" x14ac:dyDescent="0.25"/>
  <cols>
    <col min="1" max="1" width="11.6640625" style="885" customWidth="1"/>
    <col min="2" max="2" width="35.77734375" customWidth="1"/>
    <col min="3" max="3" width="14.21875" style="1" hidden="1" customWidth="1"/>
    <col min="4" max="10" width="14.77734375" style="114" hidden="1" customWidth="1"/>
    <col min="11" max="13" width="14.77734375" style="114" customWidth="1"/>
    <col min="14" max="14" width="14.77734375" customWidth="1"/>
    <col min="15" max="17" width="14.77734375" style="1" customWidth="1"/>
    <col min="18" max="20" width="14.77734375" customWidth="1"/>
    <col min="21" max="21" width="5.44140625" customWidth="1"/>
  </cols>
  <sheetData>
    <row r="1" spans="1:20" x14ac:dyDescent="0.25">
      <c r="A1" s="874" t="s">
        <v>1021</v>
      </c>
      <c r="B1" s="371" t="s">
        <v>1348</v>
      </c>
    </row>
    <row r="2" spans="1:20" ht="13.8" x14ac:dyDescent="0.25">
      <c r="A2" s="875" t="s">
        <v>261</v>
      </c>
      <c r="B2" s="45"/>
      <c r="E2" s="141"/>
      <c r="I2" s="141" t="s">
        <v>257</v>
      </c>
      <c r="J2" s="141"/>
      <c r="K2" s="141"/>
      <c r="L2" s="141"/>
      <c r="M2" s="141"/>
      <c r="N2" s="61" t="s">
        <v>443</v>
      </c>
    </row>
    <row r="3" spans="1:20" ht="13.8" thickBot="1" x14ac:dyDescent="0.3">
      <c r="A3" s="876"/>
      <c r="B3" s="4"/>
      <c r="C3" s="23"/>
      <c r="D3" s="23"/>
      <c r="E3" s="23"/>
      <c r="F3" s="23"/>
      <c r="G3" s="23"/>
      <c r="H3" s="23"/>
      <c r="I3" s="23"/>
      <c r="J3" s="23"/>
      <c r="K3" s="23"/>
      <c r="L3" s="23"/>
      <c r="M3" s="23"/>
      <c r="N3" s="4"/>
      <c r="O3" s="23"/>
      <c r="P3" s="23"/>
      <c r="Q3" s="4"/>
      <c r="T3" s="4"/>
    </row>
    <row r="4" spans="1:20" ht="13.8" thickTop="1" x14ac:dyDescent="0.25">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t="s">
        <v>910</v>
      </c>
    </row>
    <row r="5" spans="1:20" x14ac:dyDescent="0.25">
      <c r="A5" s="878"/>
      <c r="B5" s="209"/>
      <c r="C5" s="127"/>
      <c r="D5" s="87"/>
      <c r="E5" s="113"/>
      <c r="F5" s="87"/>
      <c r="G5" s="87"/>
      <c r="H5" s="113"/>
      <c r="I5" s="290"/>
      <c r="J5" s="290"/>
      <c r="K5" s="290"/>
      <c r="L5" s="290"/>
      <c r="M5" s="290"/>
      <c r="N5" s="113" t="s">
        <v>515</v>
      </c>
      <c r="O5" s="88" t="s">
        <v>7</v>
      </c>
      <c r="P5" s="203" t="s">
        <v>782</v>
      </c>
    </row>
    <row r="6" spans="1:20" x14ac:dyDescent="0.25">
      <c r="A6" s="878"/>
      <c r="B6" s="209"/>
      <c r="C6" s="127"/>
      <c r="D6" s="127"/>
      <c r="E6" s="127"/>
      <c r="F6" s="127"/>
      <c r="G6" s="127"/>
      <c r="H6" s="127"/>
      <c r="I6" s="88"/>
      <c r="J6" s="88"/>
      <c r="K6" s="88"/>
      <c r="L6" s="88"/>
      <c r="M6" s="88"/>
      <c r="N6" s="127"/>
      <c r="O6" s="88" t="s">
        <v>8</v>
      </c>
      <c r="P6" s="47" t="s">
        <v>543</v>
      </c>
    </row>
    <row r="7" spans="1:20"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44561</v>
      </c>
      <c r="O7" s="338" t="s">
        <v>9</v>
      </c>
      <c r="P7" s="9" t="s">
        <v>546</v>
      </c>
    </row>
    <row r="8" spans="1:20" ht="13.8" thickTop="1" x14ac:dyDescent="0.25">
      <c r="A8" s="881">
        <v>5112</v>
      </c>
      <c r="B8" s="210" t="s">
        <v>688</v>
      </c>
      <c r="C8" s="130">
        <v>162036.5</v>
      </c>
      <c r="D8" s="13">
        <v>177911.22</v>
      </c>
      <c r="E8" s="13">
        <v>172306.06</v>
      </c>
      <c r="F8" s="13">
        <v>184213.02</v>
      </c>
      <c r="G8" s="13">
        <v>188880.71</v>
      </c>
      <c r="H8" s="13">
        <v>191317.08</v>
      </c>
      <c r="I8" s="13">
        <v>212220.73</v>
      </c>
      <c r="J8" s="13">
        <v>203727.91</v>
      </c>
      <c r="K8" s="122">
        <v>215125</v>
      </c>
      <c r="L8" s="144">
        <v>210414.88</v>
      </c>
      <c r="M8" s="122">
        <v>223269</v>
      </c>
      <c r="N8" s="13">
        <v>104729.7</v>
      </c>
      <c r="O8" s="122">
        <f>SUM(N36:N41)</f>
        <v>296678.96999999997</v>
      </c>
      <c r="P8" s="19"/>
    </row>
    <row r="9" spans="1:20" x14ac:dyDescent="0.25">
      <c r="A9" s="881">
        <v>5114</v>
      </c>
      <c r="B9" s="63" t="s">
        <v>689</v>
      </c>
      <c r="C9" s="130">
        <v>1658.24</v>
      </c>
      <c r="D9" s="13">
        <v>4438.01</v>
      </c>
      <c r="E9" s="13">
        <v>4948.5200000000004</v>
      </c>
      <c r="F9" s="13">
        <v>2984</v>
      </c>
      <c r="G9" s="13">
        <v>18353.25</v>
      </c>
      <c r="H9" s="13">
        <v>28209.75</v>
      </c>
      <c r="I9" s="13">
        <v>22377.5</v>
      </c>
      <c r="J9" s="13">
        <v>33291</v>
      </c>
      <c r="K9" s="14">
        <v>23000</v>
      </c>
      <c r="L9" s="13">
        <v>20821.5</v>
      </c>
      <c r="M9" s="14">
        <v>23000</v>
      </c>
      <c r="N9" s="13">
        <v>13571.25</v>
      </c>
      <c r="O9" s="14">
        <v>17000</v>
      </c>
      <c r="P9" s="14"/>
    </row>
    <row r="10" spans="1:20" x14ac:dyDescent="0.25">
      <c r="A10" s="881">
        <v>5132</v>
      </c>
      <c r="B10" s="63" t="s">
        <v>161</v>
      </c>
      <c r="C10" s="130">
        <v>41720.449999999997</v>
      </c>
      <c r="D10" s="13">
        <v>42947.98</v>
      </c>
      <c r="E10" s="13">
        <v>61676.62</v>
      </c>
      <c r="F10" s="13">
        <v>45731.57</v>
      </c>
      <c r="G10" s="13">
        <v>33275.79</v>
      </c>
      <c r="H10" s="13">
        <v>51173.09</v>
      </c>
      <c r="I10" s="13">
        <v>35035.449999999997</v>
      </c>
      <c r="J10" s="13">
        <v>44602.27</v>
      </c>
      <c r="K10" s="14">
        <f>525+35000</f>
        <v>35525</v>
      </c>
      <c r="L10" s="13">
        <v>31759.93</v>
      </c>
      <c r="M10" s="14">
        <v>34000</v>
      </c>
      <c r="N10" s="13">
        <v>40096.080000000002</v>
      </c>
      <c r="O10" s="14">
        <v>30000</v>
      </c>
      <c r="P10" s="14"/>
      <c r="R10" s="255"/>
    </row>
    <row r="11" spans="1:20" x14ac:dyDescent="0.25">
      <c r="A11" s="881">
        <v>5142</v>
      </c>
      <c r="B11" s="63" t="s">
        <v>164</v>
      </c>
      <c r="C11" s="130">
        <v>2549.08</v>
      </c>
      <c r="D11" s="13">
        <v>2494.06</v>
      </c>
      <c r="E11" s="13">
        <v>2480.2600000000002</v>
      </c>
      <c r="F11" s="13">
        <v>2517.29</v>
      </c>
      <c r="G11" s="13">
        <v>2498.44</v>
      </c>
      <c r="H11" s="13">
        <v>2503.4499999999998</v>
      </c>
      <c r="I11" s="13">
        <v>2513.67</v>
      </c>
      <c r="J11" s="13">
        <v>3376.1</v>
      </c>
      <c r="K11" s="14">
        <f>1022+2600</f>
        <v>3622</v>
      </c>
      <c r="L11" s="13">
        <v>3512.88</v>
      </c>
      <c r="M11" s="14">
        <f>1022+2600</f>
        <v>3622</v>
      </c>
      <c r="N11" s="13">
        <v>1699.9</v>
      </c>
      <c r="O11" s="14">
        <f>1022+2600</f>
        <v>3622</v>
      </c>
      <c r="P11" s="14"/>
    </row>
    <row r="12" spans="1:20" x14ac:dyDescent="0.25">
      <c r="A12" s="881">
        <v>5143</v>
      </c>
      <c r="B12" s="63" t="s">
        <v>165</v>
      </c>
      <c r="C12" s="130">
        <v>7301.66</v>
      </c>
      <c r="D12" s="13">
        <v>8317.19</v>
      </c>
      <c r="E12" s="13">
        <v>8418.2999999999993</v>
      </c>
      <c r="F12" s="13">
        <v>9545.08</v>
      </c>
      <c r="G12" s="13">
        <v>9298.68</v>
      </c>
      <c r="H12" s="13">
        <v>8980.2800000000007</v>
      </c>
      <c r="I12" s="13">
        <v>10419.469999999999</v>
      </c>
      <c r="J12" s="13">
        <v>10129.64</v>
      </c>
      <c r="K12" s="14">
        <f>3352+9600</f>
        <v>12952</v>
      </c>
      <c r="L12" s="13">
        <v>11789</v>
      </c>
      <c r="M12" s="14">
        <v>14000</v>
      </c>
      <c r="N12" s="13">
        <v>7756.6</v>
      </c>
      <c r="O12" s="14">
        <v>14000</v>
      </c>
      <c r="P12" s="14"/>
    </row>
    <row r="13" spans="1:20" x14ac:dyDescent="0.25">
      <c r="A13" s="881">
        <v>5144</v>
      </c>
      <c r="B13" s="63" t="s">
        <v>157</v>
      </c>
      <c r="C13" s="250"/>
      <c r="D13" s="37">
        <v>0</v>
      </c>
      <c r="E13" s="37"/>
      <c r="F13" s="37">
        <v>150</v>
      </c>
      <c r="G13" s="37">
        <v>1000</v>
      </c>
      <c r="H13" s="37">
        <v>1300</v>
      </c>
      <c r="I13" s="37">
        <v>1300</v>
      </c>
      <c r="J13" s="37">
        <v>1300</v>
      </c>
      <c r="K13" s="125">
        <v>1300</v>
      </c>
      <c r="L13" s="233">
        <v>1300</v>
      </c>
      <c r="M13" s="125">
        <v>1900</v>
      </c>
      <c r="N13" s="13">
        <v>1100</v>
      </c>
      <c r="O13" s="125">
        <v>1100</v>
      </c>
      <c r="P13" s="125"/>
    </row>
    <row r="14" spans="1:20" x14ac:dyDescent="0.25">
      <c r="A14" s="881">
        <v>5145</v>
      </c>
      <c r="B14" s="63" t="s">
        <v>721</v>
      </c>
      <c r="C14" s="250">
        <v>230.8</v>
      </c>
      <c r="D14" s="37">
        <v>300.04000000000002</v>
      </c>
      <c r="E14" s="37">
        <v>300.04000000000002</v>
      </c>
      <c r="F14" s="37">
        <v>305.81</v>
      </c>
      <c r="G14" s="37">
        <v>300.04000000000002</v>
      </c>
      <c r="H14" s="37">
        <v>300.04000000000002</v>
      </c>
      <c r="I14" s="37">
        <v>300.04000000000002</v>
      </c>
      <c r="J14" s="37">
        <v>300.04000000000002</v>
      </c>
      <c r="K14" s="38">
        <v>300</v>
      </c>
      <c r="L14" s="37">
        <v>305.81</v>
      </c>
      <c r="M14" s="38">
        <v>300</v>
      </c>
      <c r="N14" s="13">
        <v>144.25</v>
      </c>
      <c r="O14" s="38">
        <v>300</v>
      </c>
      <c r="P14" s="38"/>
    </row>
    <row r="15" spans="1:20" x14ac:dyDescent="0.25">
      <c r="A15" s="881">
        <v>5146</v>
      </c>
      <c r="B15" s="63" t="s">
        <v>78</v>
      </c>
      <c r="C15" s="250">
        <v>2172.0100000000002</v>
      </c>
      <c r="D15" s="37">
        <v>4324.59</v>
      </c>
      <c r="E15" s="37">
        <v>6508.59</v>
      </c>
      <c r="F15" s="37">
        <v>9039.4</v>
      </c>
      <c r="G15" s="37">
        <v>8737</v>
      </c>
      <c r="H15" s="37">
        <v>8626</v>
      </c>
      <c r="I15" s="37">
        <v>8706</v>
      </c>
      <c r="J15" s="37">
        <v>8792</v>
      </c>
      <c r="K15" s="38">
        <v>8760</v>
      </c>
      <c r="L15" s="37">
        <v>5808</v>
      </c>
      <c r="M15" s="125"/>
      <c r="N15" s="144"/>
      <c r="O15" s="125"/>
      <c r="P15" s="38"/>
      <c r="R15" s="255"/>
    </row>
    <row r="16" spans="1:20" x14ac:dyDescent="0.25">
      <c r="A16" s="881">
        <v>5193</v>
      </c>
      <c r="B16" s="63" t="s">
        <v>798</v>
      </c>
      <c r="C16" s="250"/>
      <c r="D16" s="37">
        <v>1648.06</v>
      </c>
      <c r="E16" s="37"/>
      <c r="F16" s="37"/>
      <c r="G16" s="37"/>
      <c r="H16" s="37"/>
      <c r="I16" s="37"/>
      <c r="J16" s="37">
        <v>948.04</v>
      </c>
      <c r="K16" s="38"/>
      <c r="L16" s="37"/>
      <c r="M16" s="38"/>
      <c r="N16" s="13">
        <v>3595.2</v>
      </c>
      <c r="O16" s="38"/>
      <c r="P16" s="38"/>
      <c r="R16" s="255"/>
    </row>
    <row r="17" spans="1:20" hidden="1" x14ac:dyDescent="0.25">
      <c r="A17" s="881">
        <v>5194</v>
      </c>
      <c r="B17" s="63" t="s">
        <v>799</v>
      </c>
      <c r="C17" s="250"/>
      <c r="D17" s="37">
        <v>1609.12</v>
      </c>
      <c r="E17" s="37"/>
      <c r="F17" s="37"/>
      <c r="G17" s="37"/>
      <c r="H17" s="37"/>
      <c r="I17" s="37"/>
      <c r="J17" s="37"/>
      <c r="K17" s="38"/>
      <c r="L17" s="37"/>
      <c r="M17" s="38"/>
      <c r="N17" s="13"/>
      <c r="O17" s="38"/>
      <c r="P17" s="38"/>
      <c r="R17" s="255"/>
    </row>
    <row r="18" spans="1:20" ht="13.8" thickBot="1" x14ac:dyDescent="0.3">
      <c r="A18" s="881">
        <v>5195</v>
      </c>
      <c r="B18" s="63" t="s">
        <v>166</v>
      </c>
      <c r="C18" s="250">
        <v>850.14</v>
      </c>
      <c r="D18" s="37">
        <v>631.98</v>
      </c>
      <c r="E18" s="37">
        <v>1038.2</v>
      </c>
      <c r="F18" s="37">
        <v>1465.07</v>
      </c>
      <c r="G18" s="37">
        <v>924.2</v>
      </c>
      <c r="H18" s="37">
        <v>588.15</v>
      </c>
      <c r="I18" s="37">
        <v>2471.3200000000002</v>
      </c>
      <c r="J18" s="37">
        <v>1315.54</v>
      </c>
      <c r="K18" s="38">
        <v>3000</v>
      </c>
      <c r="L18" s="37"/>
      <c r="M18" s="38">
        <v>2600</v>
      </c>
      <c r="N18" s="13">
        <v>83.26</v>
      </c>
      <c r="O18" s="38">
        <v>2600</v>
      </c>
      <c r="P18" s="38"/>
      <c r="R18" s="255"/>
    </row>
    <row r="19" spans="1:20" x14ac:dyDescent="0.25">
      <c r="A19" s="881"/>
      <c r="B19" s="17" t="s">
        <v>130</v>
      </c>
      <c r="C19" s="32">
        <f t="shared" ref="C19:N19" si="0">SUM(C8:C18)</f>
        <v>218518.88</v>
      </c>
      <c r="D19" s="32">
        <f t="shared" si="0"/>
        <v>244622.25000000003</v>
      </c>
      <c r="E19" s="32">
        <f t="shared" si="0"/>
        <v>257676.59</v>
      </c>
      <c r="F19" s="32">
        <f>SUM(F8:F18)</f>
        <v>255951.24</v>
      </c>
      <c r="G19" s="32">
        <f>SUM(G8:G18)</f>
        <v>263268.11000000004</v>
      </c>
      <c r="H19" s="32">
        <f>SUM(H8:H18)</f>
        <v>292997.84000000003</v>
      </c>
      <c r="I19" s="32">
        <f t="shared" si="0"/>
        <v>295344.17999999993</v>
      </c>
      <c r="J19" s="32">
        <f t="shared" si="0"/>
        <v>307782.53999999992</v>
      </c>
      <c r="K19" s="33">
        <f>SUM(K8:K18)</f>
        <v>303584</v>
      </c>
      <c r="L19" s="32">
        <f t="shared" ref="L19:M19" si="1">SUM(L8:L18)</f>
        <v>285712</v>
      </c>
      <c r="M19" s="33">
        <f t="shared" si="1"/>
        <v>302691</v>
      </c>
      <c r="N19" s="32">
        <f t="shared" si="0"/>
        <v>172776.24000000002</v>
      </c>
      <c r="O19" s="33">
        <f>SUM(O8:O18)</f>
        <v>365300.97</v>
      </c>
      <c r="P19" s="296">
        <f>SUM(P8:P18)</f>
        <v>0</v>
      </c>
    </row>
    <row r="20" spans="1:20" x14ac:dyDescent="0.25">
      <c r="A20" s="881"/>
      <c r="B20" s="17"/>
      <c r="C20" s="18"/>
      <c r="D20" s="18"/>
      <c r="E20" s="18"/>
      <c r="F20" s="18"/>
      <c r="G20" s="18"/>
      <c r="H20" s="18"/>
      <c r="I20" s="18"/>
      <c r="J20" s="18"/>
      <c r="K20" s="19"/>
      <c r="L20" s="18"/>
      <c r="M20" s="19"/>
      <c r="N20" s="18"/>
      <c r="O20" s="19"/>
      <c r="P20" s="124"/>
    </row>
    <row r="21" spans="1:20" hidden="1" x14ac:dyDescent="0.25">
      <c r="A21" s="881">
        <v>5310</v>
      </c>
      <c r="B21" s="12" t="s">
        <v>864</v>
      </c>
      <c r="C21" s="18"/>
      <c r="D21" s="18"/>
      <c r="E21" s="18">
        <v>1916.6</v>
      </c>
      <c r="F21" s="18">
        <v>3000</v>
      </c>
      <c r="G21" s="18">
        <v>3000</v>
      </c>
      <c r="H21" s="18">
        <v>3000</v>
      </c>
      <c r="I21" s="18">
        <v>3000</v>
      </c>
      <c r="J21" s="18">
        <v>3000</v>
      </c>
      <c r="K21" s="19">
        <v>3000</v>
      </c>
      <c r="L21" s="18"/>
      <c r="M21" s="19"/>
      <c r="N21" s="18"/>
      <c r="O21" s="124">
        <v>0</v>
      </c>
      <c r="P21" s="19"/>
    </row>
    <row r="22" spans="1:20" x14ac:dyDescent="0.25">
      <c r="A22" s="881">
        <v>5314</v>
      </c>
      <c r="B22" s="12" t="s">
        <v>139</v>
      </c>
      <c r="C22" s="18">
        <v>338</v>
      </c>
      <c r="D22" s="18">
        <v>726.4</v>
      </c>
      <c r="E22" s="18">
        <v>554</v>
      </c>
      <c r="F22" s="18">
        <v>1043</v>
      </c>
      <c r="G22" s="18">
        <v>1401</v>
      </c>
      <c r="H22" s="18">
        <v>449.99</v>
      </c>
      <c r="I22" s="18">
        <v>0</v>
      </c>
      <c r="J22" s="18">
        <v>249</v>
      </c>
      <c r="K22" s="19">
        <v>3000</v>
      </c>
      <c r="L22" s="18">
        <v>524</v>
      </c>
      <c r="M22" s="19">
        <v>4300</v>
      </c>
      <c r="N22" s="18">
        <v>298</v>
      </c>
      <c r="O22" s="19">
        <v>4300</v>
      </c>
      <c r="P22" s="19"/>
      <c r="R22" s="255"/>
    </row>
    <row r="23" spans="1:20" ht="13.8" thickBot="1" x14ac:dyDescent="0.3">
      <c r="A23" s="881">
        <v>5710</v>
      </c>
      <c r="B23" s="12" t="s">
        <v>535</v>
      </c>
      <c r="C23" s="15">
        <v>973.49</v>
      </c>
      <c r="D23" s="15">
        <v>1718.11</v>
      </c>
      <c r="E23" s="15">
        <v>868.43</v>
      </c>
      <c r="F23" s="15">
        <v>1101.28</v>
      </c>
      <c r="G23" s="15">
        <v>592.77</v>
      </c>
      <c r="H23" s="15">
        <v>812.24</v>
      </c>
      <c r="I23" s="15">
        <v>1364.58</v>
      </c>
      <c r="J23" s="15">
        <v>2047.52</v>
      </c>
      <c r="K23" s="16">
        <v>2000</v>
      </c>
      <c r="L23" s="15"/>
      <c r="M23" s="16">
        <v>3300</v>
      </c>
      <c r="N23" s="15">
        <v>62.72</v>
      </c>
      <c r="O23" s="16">
        <v>3300</v>
      </c>
      <c r="P23" s="16"/>
      <c r="R23" s="255"/>
    </row>
    <row r="24" spans="1:20" x14ac:dyDescent="0.25">
      <c r="A24" s="881"/>
      <c r="B24" s="17" t="s">
        <v>449</v>
      </c>
      <c r="C24" s="18">
        <f t="shared" ref="C24:N24" si="2">SUM(C21:C23)</f>
        <v>1311.49</v>
      </c>
      <c r="D24" s="18">
        <f t="shared" si="2"/>
        <v>2444.5099999999998</v>
      </c>
      <c r="E24" s="18">
        <f t="shared" si="2"/>
        <v>3339.0299999999997</v>
      </c>
      <c r="F24" s="18">
        <f>SUM(F21:F23)</f>
        <v>5144.28</v>
      </c>
      <c r="G24" s="18">
        <f>SUM(G21:G23)</f>
        <v>4993.7700000000004</v>
      </c>
      <c r="H24" s="18">
        <f>SUM(H21:H23)</f>
        <v>4262.2299999999996</v>
      </c>
      <c r="I24" s="18">
        <f t="shared" si="2"/>
        <v>4364.58</v>
      </c>
      <c r="J24" s="18">
        <f t="shared" ref="J24" si="3">SUM(J21:J23)</f>
        <v>5296.52</v>
      </c>
      <c r="K24" s="249">
        <f>SUM(K21:K23)</f>
        <v>8000</v>
      </c>
      <c r="L24" s="126">
        <f t="shared" ref="L24:M24" si="4">SUM(L21:L23)</f>
        <v>524</v>
      </c>
      <c r="M24" s="249">
        <f t="shared" si="4"/>
        <v>7600</v>
      </c>
      <c r="N24" s="18">
        <f t="shared" si="2"/>
        <v>360.72</v>
      </c>
      <c r="O24" s="249">
        <f>SUM(O21:O23)</f>
        <v>7600</v>
      </c>
      <c r="P24" s="249">
        <f>SUM(P21:P23)</f>
        <v>0</v>
      </c>
    </row>
    <row r="25" spans="1:20" x14ac:dyDescent="0.25">
      <c r="A25" s="881"/>
      <c r="B25" s="17"/>
      <c r="C25" s="18"/>
      <c r="D25" s="18"/>
      <c r="E25" s="18"/>
      <c r="F25" s="18"/>
      <c r="G25" s="18"/>
      <c r="H25" s="18"/>
      <c r="I25" s="18"/>
      <c r="J25" s="18"/>
      <c r="K25" s="124"/>
      <c r="L25" s="126"/>
      <c r="M25" s="124"/>
      <c r="N25" s="18"/>
      <c r="O25" s="124"/>
      <c r="P25" s="124"/>
    </row>
    <row r="26" spans="1:20" ht="13.8" thickBot="1" x14ac:dyDescent="0.3">
      <c r="A26" s="882"/>
      <c r="B26" s="20" t="s">
        <v>444</v>
      </c>
      <c r="C26" s="21">
        <f t="shared" ref="C26:O26" si="5">+C24+C19</f>
        <v>219830.37</v>
      </c>
      <c r="D26" s="21">
        <f t="shared" si="5"/>
        <v>247066.76000000004</v>
      </c>
      <c r="E26" s="21">
        <f t="shared" si="5"/>
        <v>261015.62</v>
      </c>
      <c r="F26" s="21">
        <f t="shared" si="5"/>
        <v>261095.52</v>
      </c>
      <c r="G26" s="21">
        <f t="shared" si="5"/>
        <v>268261.88000000006</v>
      </c>
      <c r="H26" s="21">
        <f t="shared" si="5"/>
        <v>297260.07</v>
      </c>
      <c r="I26" s="21">
        <f t="shared" si="5"/>
        <v>299708.75999999995</v>
      </c>
      <c r="J26" s="21">
        <f t="shared" ref="J26" si="6">+J24+J19</f>
        <v>313079.05999999994</v>
      </c>
      <c r="K26" s="339">
        <f t="shared" ref="K26:M26" si="7">+K24+K19</f>
        <v>311584</v>
      </c>
      <c r="L26" s="321">
        <f t="shared" si="7"/>
        <v>286236</v>
      </c>
      <c r="M26" s="339">
        <f t="shared" si="7"/>
        <v>310291</v>
      </c>
      <c r="N26" s="21">
        <f t="shared" si="5"/>
        <v>173136.96000000002</v>
      </c>
      <c r="O26" s="339">
        <f t="shared" si="5"/>
        <v>372900.97</v>
      </c>
      <c r="P26" s="339">
        <f>+O26</f>
        <v>372900.97</v>
      </c>
    </row>
    <row r="27" spans="1:20" ht="13.8" thickTop="1" x14ac:dyDescent="0.25">
      <c r="A27" s="876"/>
      <c r="B27" s="4"/>
      <c r="C27" s="23"/>
      <c r="D27" s="23"/>
      <c r="E27" s="23"/>
      <c r="F27" s="23"/>
      <c r="G27" s="23"/>
      <c r="H27" s="23"/>
      <c r="I27" s="23"/>
      <c r="J27" s="23"/>
      <c r="K27" s="23"/>
      <c r="L27" s="23"/>
      <c r="M27" s="23"/>
      <c r="N27" s="27"/>
      <c r="O27" s="77"/>
      <c r="P27" s="77"/>
      <c r="Q27" s="23"/>
      <c r="R27" s="77"/>
      <c r="S27" s="27"/>
      <c r="T27" s="27"/>
    </row>
    <row r="28" spans="1:20" x14ac:dyDescent="0.25">
      <c r="A28" s="965"/>
      <c r="B28" s="4"/>
      <c r="C28" s="23"/>
      <c r="D28" s="23"/>
      <c r="E28" s="23"/>
      <c r="F28" s="23"/>
      <c r="G28" s="23"/>
      <c r="H28" s="23"/>
      <c r="I28" s="23"/>
      <c r="J28" s="23"/>
      <c r="K28" s="23"/>
      <c r="L28" s="23"/>
      <c r="M28" s="23"/>
      <c r="N28" s="206"/>
      <c r="O28" s="218"/>
      <c r="P28" s="218"/>
      <c r="Q28" s="218"/>
      <c r="R28" s="27"/>
      <c r="S28" s="27"/>
      <c r="T28" s="27"/>
    </row>
    <row r="29" spans="1:20" x14ac:dyDescent="0.25">
      <c r="A29" s="965"/>
      <c r="B29" s="4"/>
      <c r="C29" s="23"/>
      <c r="D29" s="23"/>
      <c r="E29" s="23"/>
      <c r="F29" s="23"/>
      <c r="G29" s="23"/>
      <c r="H29" s="23"/>
      <c r="I29" s="23"/>
      <c r="J29" s="23"/>
      <c r="K29" s="23"/>
      <c r="L29" s="23"/>
      <c r="M29" s="23"/>
      <c r="N29" s="206"/>
      <c r="O29" s="218"/>
      <c r="P29" s="218"/>
      <c r="Q29" s="218"/>
      <c r="R29" s="27"/>
      <c r="S29" s="27"/>
      <c r="T29" s="27"/>
    </row>
    <row r="30" spans="1:20" x14ac:dyDescent="0.25">
      <c r="A30" s="966"/>
      <c r="B30" s="148"/>
      <c r="C30" s="105"/>
      <c r="D30" s="105"/>
      <c r="E30" s="105"/>
      <c r="F30" s="105"/>
      <c r="G30" s="105"/>
      <c r="H30" s="105"/>
      <c r="I30" s="105"/>
      <c r="J30" s="105"/>
      <c r="K30" s="105"/>
      <c r="L30" s="105"/>
      <c r="M30" s="105"/>
      <c r="N30" s="361"/>
      <c r="O30" s="362"/>
      <c r="P30" s="362"/>
      <c r="Q30" s="362"/>
      <c r="R30" s="27"/>
      <c r="S30" s="27"/>
      <c r="T30" s="27"/>
    </row>
    <row r="31" spans="1:20" x14ac:dyDescent="0.25">
      <c r="A31" s="876" t="s">
        <v>527</v>
      </c>
      <c r="B31" s="4"/>
    </row>
    <row r="32" spans="1:20" ht="13.8" thickBot="1" x14ac:dyDescent="0.3">
      <c r="A32" s="876"/>
      <c r="B32" s="4"/>
    </row>
    <row r="33" spans="1:17" ht="13.8" thickTop="1" x14ac:dyDescent="0.25">
      <c r="A33" s="883" t="s">
        <v>891</v>
      </c>
      <c r="B33" s="107"/>
      <c r="K33" s="316" t="s">
        <v>85</v>
      </c>
      <c r="L33" s="156" t="s">
        <v>575</v>
      </c>
      <c r="M33" s="157" t="s">
        <v>577</v>
      </c>
      <c r="N33" s="158" t="s">
        <v>579</v>
      </c>
      <c r="O33"/>
      <c r="P33" s="212"/>
      <c r="Q33"/>
    </row>
    <row r="34" spans="1:17" ht="13.8" thickBot="1" x14ac:dyDescent="0.3">
      <c r="A34" s="884" t="s">
        <v>892</v>
      </c>
      <c r="B34" s="109" t="s">
        <v>528</v>
      </c>
      <c r="K34" s="343">
        <v>44743</v>
      </c>
      <c r="L34" s="159" t="s">
        <v>576</v>
      </c>
      <c r="M34" s="160" t="s">
        <v>574</v>
      </c>
      <c r="N34" s="160" t="s">
        <v>106</v>
      </c>
      <c r="O34" s="234"/>
      <c r="P34" s="234"/>
      <c r="Q34" s="234" t="s">
        <v>350</v>
      </c>
    </row>
    <row r="35" spans="1:17" ht="13.8" thickTop="1" x14ac:dyDescent="0.25">
      <c r="A35" s="931"/>
      <c r="B35" s="210" t="s">
        <v>32</v>
      </c>
      <c r="K35" s="323"/>
      <c r="L35" s="100"/>
      <c r="M35" s="211"/>
      <c r="N35" s="211"/>
      <c r="O35"/>
      <c r="P35"/>
      <c r="Q35"/>
    </row>
    <row r="36" spans="1:17" x14ac:dyDescent="0.25">
      <c r="A36" s="1033"/>
      <c r="B36" s="110" t="s">
        <v>615</v>
      </c>
      <c r="K36" s="18" t="s">
        <v>1312</v>
      </c>
      <c r="L36" s="18">
        <f>+'NAGE &amp; Non-Union Wages'!L8</f>
        <v>28.44</v>
      </c>
      <c r="M36" s="19">
        <v>2088</v>
      </c>
      <c r="N36" s="155">
        <f t="shared" ref="N36:N40" si="8">ROUND((+L36*M36),2)</f>
        <v>59382.720000000001</v>
      </c>
      <c r="O36" s="1030"/>
      <c r="P36" s="1032"/>
      <c r="Q36">
        <v>800</v>
      </c>
    </row>
    <row r="37" spans="1:17" x14ac:dyDescent="0.25">
      <c r="A37" s="1034"/>
      <c r="B37" s="63" t="s">
        <v>1951</v>
      </c>
      <c r="K37" s="13" t="s">
        <v>794</v>
      </c>
      <c r="L37" s="154">
        <f>+'NAGE &amp; Non-Union Wages'!D7</f>
        <v>21.94</v>
      </c>
      <c r="M37" s="14">
        <v>1975</v>
      </c>
      <c r="N37" s="155">
        <f t="shared" si="8"/>
        <v>43331.5</v>
      </c>
      <c r="O37" s="1031"/>
      <c r="P37" s="360"/>
      <c r="Q37"/>
    </row>
    <row r="38" spans="1:17" x14ac:dyDescent="0.25">
      <c r="A38" s="1034"/>
      <c r="B38" s="63" t="s">
        <v>1952</v>
      </c>
      <c r="K38" s="13" t="s">
        <v>1323</v>
      </c>
      <c r="L38" s="154">
        <f>+'NAGE &amp; Non-Union Wages'!H7</f>
        <v>24.23</v>
      </c>
      <c r="M38" s="14">
        <v>1975</v>
      </c>
      <c r="N38" s="155">
        <f t="shared" si="8"/>
        <v>47854.25</v>
      </c>
      <c r="O38" s="1031"/>
      <c r="P38" s="360"/>
      <c r="Q38"/>
    </row>
    <row r="39" spans="1:17" x14ac:dyDescent="0.25">
      <c r="A39" s="1034"/>
      <c r="B39" s="63" t="s">
        <v>1951</v>
      </c>
      <c r="K39" s="13" t="s">
        <v>1630</v>
      </c>
      <c r="L39" s="154">
        <f>+'NAGE &amp; Non-Union Wages'!L7</f>
        <v>26.34</v>
      </c>
      <c r="M39" s="14">
        <v>1975</v>
      </c>
      <c r="N39" s="155">
        <f t="shared" si="8"/>
        <v>52021.5</v>
      </c>
      <c r="O39" s="1031"/>
      <c r="P39" s="360"/>
      <c r="Q39">
        <v>300</v>
      </c>
    </row>
    <row r="40" spans="1:17" x14ac:dyDescent="0.25">
      <c r="A40" s="74"/>
      <c r="B40" s="63" t="s">
        <v>1951</v>
      </c>
      <c r="K40" s="144" t="s">
        <v>1017</v>
      </c>
      <c r="L40" s="144">
        <f>+'NAGE &amp; Non-Union Wages'!K7</f>
        <v>25.7</v>
      </c>
      <c r="M40" s="122">
        <v>1975</v>
      </c>
      <c r="N40" s="155">
        <f t="shared" si="8"/>
        <v>50757.5</v>
      </c>
      <c r="O40" s="215"/>
      <c r="P40" s="360"/>
      <c r="Q40"/>
    </row>
    <row r="41" spans="1:17" x14ac:dyDescent="0.25">
      <c r="A41" s="932"/>
      <c r="B41" s="63" t="s">
        <v>1953</v>
      </c>
      <c r="K41" s="153" t="s">
        <v>1478</v>
      </c>
      <c r="L41" s="154">
        <f>+'NAGE &amp; Non-Union Wages'!D7</f>
        <v>21.94</v>
      </c>
      <c r="M41" s="122">
        <v>1975</v>
      </c>
      <c r="N41" s="155">
        <f t="shared" ref="N41" si="9">ROUND((+L41*M41),2)</f>
        <v>43331.5</v>
      </c>
      <c r="O41"/>
      <c r="P41"/>
    </row>
    <row r="42" spans="1:17" x14ac:dyDescent="0.25">
      <c r="C42" s="114"/>
    </row>
    <row r="43" spans="1:17" ht="13.8" thickBot="1" x14ac:dyDescent="0.3">
      <c r="C43" s="114"/>
    </row>
    <row r="44" spans="1:17" ht="13.8" thickTop="1" x14ac:dyDescent="0.25">
      <c r="A44" s="893"/>
      <c r="B44" s="452"/>
      <c r="C44" s="453" t="s">
        <v>127</v>
      </c>
      <c r="D44" s="454" t="s">
        <v>127</v>
      </c>
      <c r="E44" s="454" t="s">
        <v>127</v>
      </c>
      <c r="K44" s="455" t="s">
        <v>547</v>
      </c>
      <c r="L44" s="456" t="s">
        <v>9</v>
      </c>
      <c r="M44" s="457" t="s">
        <v>1073</v>
      </c>
      <c r="N44" s="456" t="s">
        <v>686</v>
      </c>
      <c r="O44" s="458"/>
      <c r="P44" s="457"/>
    </row>
    <row r="45" spans="1:17" ht="13.8" thickBot="1" x14ac:dyDescent="0.3">
      <c r="A45" s="894" t="s">
        <v>128</v>
      </c>
      <c r="B45" s="459"/>
      <c r="C45" s="460" t="s">
        <v>347</v>
      </c>
      <c r="D45" s="460" t="s">
        <v>722</v>
      </c>
      <c r="E45" s="461" t="s">
        <v>737</v>
      </c>
      <c r="K45" s="462" t="s">
        <v>909</v>
      </c>
      <c r="L45" s="462" t="s">
        <v>910</v>
      </c>
      <c r="M45" s="461" t="s">
        <v>1075</v>
      </c>
      <c r="N45" s="463" t="s">
        <v>1075</v>
      </c>
      <c r="O45" s="464" t="s">
        <v>1074</v>
      </c>
      <c r="P45" s="462"/>
    </row>
    <row r="46" spans="1:17" ht="13.8" thickTop="1" x14ac:dyDescent="0.25">
      <c r="A46" s="907">
        <v>5112</v>
      </c>
      <c r="B46" s="472" t="s">
        <v>688</v>
      </c>
      <c r="C46" s="476">
        <v>162036.5</v>
      </c>
      <c r="D46" s="476">
        <v>177911.22</v>
      </c>
      <c r="E46" s="476">
        <v>172306.06</v>
      </c>
      <c r="K46" s="475">
        <f t="shared" ref="K46:K56" si="10">+M8</f>
        <v>223269</v>
      </c>
      <c r="L46" s="497">
        <f t="shared" ref="L46:L56" si="11">+O8</f>
        <v>296678.96999999997</v>
      </c>
      <c r="M46" s="471">
        <f t="shared" ref="M46:M59" si="12">+L46-K46</f>
        <v>73409.969999999972</v>
      </c>
      <c r="N46" s="477">
        <f t="shared" ref="N46:N59" si="13">IF(K46+L46&lt;&gt;0,IF(K46&lt;&gt;0,IF(M46&lt;&gt;0,ROUND((+M46/K46),4),""),1),"")</f>
        <v>0.32879999999999998</v>
      </c>
      <c r="O46" s="470" t="s">
        <v>1734</v>
      </c>
      <c r="P46" s="471"/>
    </row>
    <row r="47" spans="1:17" x14ac:dyDescent="0.25">
      <c r="A47" s="907">
        <v>5114</v>
      </c>
      <c r="B47" s="472" t="s">
        <v>689</v>
      </c>
      <c r="C47" s="476">
        <v>1658.24</v>
      </c>
      <c r="D47" s="476">
        <v>4438.01</v>
      </c>
      <c r="E47" s="476">
        <v>4948.5200000000004</v>
      </c>
      <c r="K47" s="475">
        <f t="shared" si="10"/>
        <v>23000</v>
      </c>
      <c r="L47" s="497">
        <f t="shared" si="11"/>
        <v>17000</v>
      </c>
      <c r="M47" s="471">
        <f t="shared" si="12"/>
        <v>-6000</v>
      </c>
      <c r="N47" s="477">
        <f t="shared" si="13"/>
        <v>-0.26090000000000002</v>
      </c>
      <c r="O47" s="470" t="s">
        <v>1735</v>
      </c>
      <c r="P47" s="471"/>
    </row>
    <row r="48" spans="1:17" x14ac:dyDescent="0.25">
      <c r="A48" s="907">
        <v>5132</v>
      </c>
      <c r="B48" s="472" t="s">
        <v>161</v>
      </c>
      <c r="C48" s="476">
        <v>41720.449999999997</v>
      </c>
      <c r="D48" s="476">
        <v>42947.98</v>
      </c>
      <c r="E48" s="476">
        <v>61676.62</v>
      </c>
      <c r="K48" s="475">
        <f t="shared" si="10"/>
        <v>34000</v>
      </c>
      <c r="L48" s="497">
        <f t="shared" si="11"/>
        <v>30000</v>
      </c>
      <c r="M48" s="471">
        <f t="shared" si="12"/>
        <v>-4000</v>
      </c>
      <c r="N48" s="477">
        <f t="shared" si="13"/>
        <v>-0.1176</v>
      </c>
      <c r="O48" s="470" t="s">
        <v>1735</v>
      </c>
      <c r="P48" s="471"/>
    </row>
    <row r="49" spans="1:17" x14ac:dyDescent="0.25">
      <c r="A49" s="907">
        <v>5142</v>
      </c>
      <c r="B49" s="472" t="s">
        <v>164</v>
      </c>
      <c r="C49" s="476">
        <v>2549.08</v>
      </c>
      <c r="D49" s="476">
        <v>2494.06</v>
      </c>
      <c r="E49" s="476">
        <v>2480.2600000000002</v>
      </c>
      <c r="K49" s="475">
        <f t="shared" si="10"/>
        <v>3622</v>
      </c>
      <c r="L49" s="497">
        <f t="shared" si="11"/>
        <v>3622</v>
      </c>
      <c r="M49" s="471">
        <f t="shared" si="12"/>
        <v>0</v>
      </c>
      <c r="N49" s="477" t="str">
        <f t="shared" si="13"/>
        <v/>
      </c>
      <c r="O49" s="470"/>
      <c r="P49" s="471"/>
    </row>
    <row r="50" spans="1:17" x14ac:dyDescent="0.25">
      <c r="A50" s="907">
        <v>5143</v>
      </c>
      <c r="B50" s="472" t="s">
        <v>165</v>
      </c>
      <c r="C50" s="476">
        <v>7301.66</v>
      </c>
      <c r="D50" s="476">
        <v>8317.19</v>
      </c>
      <c r="E50" s="476">
        <v>8418.2999999999993</v>
      </c>
      <c r="K50" s="475">
        <f t="shared" si="10"/>
        <v>14000</v>
      </c>
      <c r="L50" s="497">
        <f t="shared" si="11"/>
        <v>14000</v>
      </c>
      <c r="M50" s="471">
        <f t="shared" si="12"/>
        <v>0</v>
      </c>
      <c r="N50" s="477" t="str">
        <f t="shared" si="13"/>
        <v/>
      </c>
      <c r="O50" s="470"/>
      <c r="P50" s="471"/>
    </row>
    <row r="51" spans="1:17" x14ac:dyDescent="0.25">
      <c r="A51" s="907">
        <v>5144</v>
      </c>
      <c r="B51" s="472" t="s">
        <v>157</v>
      </c>
      <c r="C51" s="478"/>
      <c r="D51" s="478">
        <v>0</v>
      </c>
      <c r="E51" s="478"/>
      <c r="K51" s="475">
        <f t="shared" si="10"/>
        <v>1900</v>
      </c>
      <c r="L51" s="497">
        <f t="shared" si="11"/>
        <v>1100</v>
      </c>
      <c r="M51" s="471">
        <f t="shared" si="12"/>
        <v>-800</v>
      </c>
      <c r="N51" s="477">
        <f t="shared" si="13"/>
        <v>-0.42109999999999997</v>
      </c>
      <c r="O51" s="470" t="s">
        <v>1736</v>
      </c>
      <c r="P51" s="471"/>
    </row>
    <row r="52" spans="1:17" x14ac:dyDescent="0.25">
      <c r="A52" s="907">
        <v>5145</v>
      </c>
      <c r="B52" s="472" t="s">
        <v>721</v>
      </c>
      <c r="C52" s="478">
        <v>230.8</v>
      </c>
      <c r="D52" s="478">
        <v>300.04000000000002</v>
      </c>
      <c r="E52" s="478">
        <v>300.04000000000002</v>
      </c>
      <c r="K52" s="475">
        <f t="shared" si="10"/>
        <v>300</v>
      </c>
      <c r="L52" s="497">
        <f t="shared" si="11"/>
        <v>300</v>
      </c>
      <c r="M52" s="471">
        <f t="shared" si="12"/>
        <v>0</v>
      </c>
      <c r="N52" s="477" t="str">
        <f t="shared" si="13"/>
        <v/>
      </c>
      <c r="O52" s="470"/>
      <c r="P52" s="471"/>
    </row>
    <row r="53" spans="1:17" x14ac:dyDescent="0.25">
      <c r="A53" s="907">
        <v>5146</v>
      </c>
      <c r="B53" s="472" t="s">
        <v>78</v>
      </c>
      <c r="C53" s="478">
        <v>2172.0100000000002</v>
      </c>
      <c r="D53" s="478">
        <v>4324.59</v>
      </c>
      <c r="E53" s="478">
        <v>6508.59</v>
      </c>
      <c r="K53" s="475">
        <f t="shared" si="10"/>
        <v>0</v>
      </c>
      <c r="L53" s="497">
        <f t="shared" si="11"/>
        <v>0</v>
      </c>
      <c r="M53" s="471">
        <f t="shared" si="12"/>
        <v>0</v>
      </c>
      <c r="N53" s="477" t="str">
        <f t="shared" si="13"/>
        <v/>
      </c>
      <c r="O53" s="470"/>
      <c r="P53" s="471"/>
    </row>
    <row r="54" spans="1:17" x14ac:dyDescent="0.25">
      <c r="A54" s="907">
        <v>5193</v>
      </c>
      <c r="B54" s="472" t="s">
        <v>798</v>
      </c>
      <c r="C54" s="478"/>
      <c r="D54" s="478">
        <v>1648.06</v>
      </c>
      <c r="E54" s="478"/>
      <c r="K54" s="475">
        <f t="shared" si="10"/>
        <v>0</v>
      </c>
      <c r="L54" s="497">
        <f t="shared" si="11"/>
        <v>0</v>
      </c>
      <c r="M54" s="471">
        <f t="shared" si="12"/>
        <v>0</v>
      </c>
      <c r="N54" s="477" t="str">
        <f t="shared" si="13"/>
        <v/>
      </c>
      <c r="O54" s="470"/>
      <c r="P54" s="471"/>
    </row>
    <row r="55" spans="1:17" hidden="1" x14ac:dyDescent="0.25">
      <c r="A55" s="907">
        <v>5194</v>
      </c>
      <c r="B55" s="472" t="s">
        <v>799</v>
      </c>
      <c r="C55" s="478"/>
      <c r="D55" s="478">
        <v>1609.12</v>
      </c>
      <c r="E55" s="478"/>
      <c r="K55" s="475">
        <f t="shared" si="10"/>
        <v>0</v>
      </c>
      <c r="L55" s="497">
        <f t="shared" si="11"/>
        <v>0</v>
      </c>
      <c r="M55" s="471">
        <f t="shared" si="12"/>
        <v>0</v>
      </c>
      <c r="N55" s="477" t="str">
        <f t="shared" si="13"/>
        <v/>
      </c>
      <c r="O55" s="470"/>
      <c r="P55" s="471"/>
    </row>
    <row r="56" spans="1:17" x14ac:dyDescent="0.25">
      <c r="A56" s="907">
        <v>5195</v>
      </c>
      <c r="B56" s="472" t="s">
        <v>166</v>
      </c>
      <c r="C56" s="478">
        <v>850.14</v>
      </c>
      <c r="D56" s="478">
        <v>631.98</v>
      </c>
      <c r="E56" s="478">
        <v>1038.2</v>
      </c>
      <c r="K56" s="475">
        <f t="shared" si="10"/>
        <v>2600</v>
      </c>
      <c r="L56" s="497">
        <f t="shared" si="11"/>
        <v>2600</v>
      </c>
      <c r="M56" s="471">
        <f t="shared" si="12"/>
        <v>0</v>
      </c>
      <c r="N56" s="477" t="str">
        <f t="shared" si="13"/>
        <v/>
      </c>
      <c r="O56" s="470"/>
      <c r="P56" s="471"/>
    </row>
    <row r="57" spans="1:17" x14ac:dyDescent="0.25">
      <c r="A57" s="907">
        <v>5310</v>
      </c>
      <c r="B57" s="472" t="s">
        <v>864</v>
      </c>
      <c r="C57" s="468"/>
      <c r="D57" s="468"/>
      <c r="E57" s="468">
        <v>1916.6</v>
      </c>
      <c r="K57" s="475">
        <f>+M21</f>
        <v>0</v>
      </c>
      <c r="L57" s="497">
        <f>+O21</f>
        <v>0</v>
      </c>
      <c r="M57" s="471">
        <f t="shared" si="12"/>
        <v>0</v>
      </c>
      <c r="N57" s="477" t="str">
        <f t="shared" si="13"/>
        <v/>
      </c>
      <c r="O57" s="470"/>
      <c r="P57" s="471"/>
    </row>
    <row r="58" spans="1:17" x14ac:dyDescent="0.25">
      <c r="A58" s="907">
        <v>5314</v>
      </c>
      <c r="B58" s="472" t="s">
        <v>139</v>
      </c>
      <c r="C58" s="468">
        <v>338</v>
      </c>
      <c r="D58" s="468">
        <v>726.4</v>
      </c>
      <c r="E58" s="468">
        <v>554</v>
      </c>
      <c r="K58" s="475">
        <f>+M22</f>
        <v>4300</v>
      </c>
      <c r="L58" s="497">
        <f>+O22</f>
        <v>4300</v>
      </c>
      <c r="M58" s="471">
        <f t="shared" si="12"/>
        <v>0</v>
      </c>
      <c r="N58" s="477" t="str">
        <f t="shared" si="13"/>
        <v/>
      </c>
      <c r="O58" s="470"/>
      <c r="P58" s="471"/>
    </row>
    <row r="59" spans="1:17" ht="13.8" thickBot="1" x14ac:dyDescent="0.3">
      <c r="A59" s="907">
        <v>5710</v>
      </c>
      <c r="B59" s="472" t="s">
        <v>535</v>
      </c>
      <c r="C59" s="474">
        <v>973.49</v>
      </c>
      <c r="D59" s="474">
        <v>1718.11</v>
      </c>
      <c r="E59" s="474">
        <v>868.43</v>
      </c>
      <c r="K59" s="475">
        <f>+M23</f>
        <v>3300</v>
      </c>
      <c r="L59" s="497">
        <f>+O23</f>
        <v>3300</v>
      </c>
      <c r="M59" s="471">
        <f t="shared" si="12"/>
        <v>0</v>
      </c>
      <c r="N59" s="477" t="str">
        <f t="shared" si="13"/>
        <v/>
      </c>
      <c r="O59" s="470"/>
      <c r="P59" s="471"/>
    </row>
    <row r="60" spans="1:17" x14ac:dyDescent="0.25">
      <c r="C60" s="114"/>
    </row>
    <row r="61" spans="1:17" ht="14.4" x14ac:dyDescent="0.25">
      <c r="A61" s="876"/>
      <c r="B61" s="4" t="s">
        <v>1363</v>
      </c>
      <c r="C61" s="23"/>
      <c r="D61" s="23"/>
      <c r="E61" s="23"/>
      <c r="F61" s="23"/>
      <c r="G61" s="23"/>
      <c r="K61" s="742">
        <f>SUM(K46:K59)</f>
        <v>310291</v>
      </c>
      <c r="L61" s="742">
        <f>SUM(L46:L59)</f>
        <v>372900.97</v>
      </c>
      <c r="M61" s="202">
        <f>+L61-K61</f>
        <v>62609.969999999972</v>
      </c>
      <c r="N61" s="743">
        <f>IF(K61+L61&lt;&gt;0,IF(K61&lt;&gt;0,IF(M61&lt;&gt;0,ROUND((+M61/K61),4),""),1),"")</f>
        <v>0.20180000000000001</v>
      </c>
      <c r="O61" s="589"/>
      <c r="P61" s="589"/>
    </row>
    <row r="62" spans="1:17" x14ac:dyDescent="0.25">
      <c r="B62" s="4"/>
      <c r="C62" s="114"/>
    </row>
    <row r="63" spans="1:17" x14ac:dyDescent="0.25">
      <c r="B63" s="4"/>
      <c r="C63" s="114"/>
    </row>
    <row r="64" spans="1:17" s="4" customFormat="1" x14ac:dyDescent="0.25">
      <c r="A64" s="876"/>
      <c r="C64" s="23"/>
      <c r="D64" s="23"/>
      <c r="E64" s="23"/>
      <c r="F64" s="23"/>
      <c r="G64" s="23"/>
      <c r="H64" s="23"/>
      <c r="I64" s="23"/>
      <c r="J64" s="23"/>
      <c r="K64" s="23"/>
      <c r="L64" s="23"/>
      <c r="M64" s="23"/>
      <c r="O64" s="23"/>
      <c r="P64" s="23"/>
      <c r="Q64" s="23"/>
    </row>
    <row r="65" spans="1:17" s="4" customFormat="1" x14ac:dyDescent="0.25">
      <c r="A65" s="876"/>
      <c r="C65" s="23"/>
      <c r="D65" s="23"/>
      <c r="E65" s="23"/>
      <c r="F65" s="23"/>
      <c r="G65" s="23"/>
      <c r="H65" s="23"/>
      <c r="I65" s="23"/>
      <c r="J65" s="23"/>
      <c r="K65" s="23"/>
      <c r="L65" s="23"/>
      <c r="M65" s="23"/>
      <c r="O65" s="23"/>
      <c r="P65" s="23"/>
      <c r="Q65" s="23"/>
    </row>
    <row r="66" spans="1:17" s="4" customFormat="1" ht="13.8" x14ac:dyDescent="0.25">
      <c r="A66" s="875"/>
      <c r="C66" s="23"/>
      <c r="D66" s="23"/>
      <c r="E66" s="23"/>
      <c r="F66" s="23"/>
      <c r="G66" s="23"/>
      <c r="H66" s="23"/>
      <c r="I66" s="23"/>
      <c r="J66" s="23"/>
      <c r="K66" s="23"/>
      <c r="L66" s="23"/>
      <c r="M66" s="23"/>
      <c r="O66" s="23"/>
      <c r="P66" s="23"/>
      <c r="Q66" s="23"/>
    </row>
    <row r="67" spans="1:17" s="4" customFormat="1" ht="13.8" x14ac:dyDescent="0.25">
      <c r="A67" s="875"/>
      <c r="C67" s="23"/>
      <c r="D67" s="23"/>
      <c r="E67" s="23"/>
      <c r="F67" s="23"/>
      <c r="G67" s="23"/>
      <c r="H67" s="23"/>
      <c r="I67" s="23"/>
      <c r="J67" s="23"/>
      <c r="K67" s="23"/>
      <c r="L67" s="23"/>
      <c r="M67" s="23"/>
      <c r="O67" s="23"/>
      <c r="P67" s="23"/>
      <c r="Q67" s="23"/>
    </row>
    <row r="68" spans="1:17" s="4" customFormat="1" ht="13.8" x14ac:dyDescent="0.25">
      <c r="A68" s="875"/>
      <c r="C68" s="23"/>
      <c r="D68" s="23"/>
      <c r="E68" s="23"/>
      <c r="F68" s="23"/>
      <c r="G68" s="23"/>
      <c r="H68" s="23"/>
      <c r="I68" s="23"/>
      <c r="J68" s="23"/>
      <c r="K68" s="23"/>
      <c r="L68" s="23"/>
      <c r="M68" s="23"/>
      <c r="O68" s="23"/>
      <c r="P68" s="23"/>
      <c r="Q68" s="23"/>
    </row>
    <row r="69" spans="1:17" s="4" customFormat="1" ht="13.8" x14ac:dyDescent="0.25">
      <c r="A69" s="933"/>
      <c r="C69" s="23"/>
      <c r="D69" s="23"/>
      <c r="E69" s="23"/>
      <c r="F69" s="23"/>
      <c r="G69" s="23"/>
      <c r="H69" s="23"/>
      <c r="I69" s="23"/>
      <c r="J69" s="23"/>
      <c r="K69" s="23"/>
      <c r="L69" s="23"/>
      <c r="M69" s="23"/>
      <c r="O69" s="23"/>
      <c r="P69" s="23"/>
      <c r="Q69" s="23"/>
    </row>
    <row r="70" spans="1:17" s="4" customFormat="1" x14ac:dyDescent="0.25">
      <c r="A70" s="876"/>
      <c r="C70" s="23"/>
      <c r="D70" s="23"/>
      <c r="E70" s="23"/>
      <c r="F70" s="23"/>
      <c r="G70" s="23"/>
      <c r="H70" s="23"/>
      <c r="I70" s="23"/>
      <c r="J70" s="23"/>
      <c r="K70" s="23"/>
      <c r="L70" s="23"/>
      <c r="M70" s="23"/>
      <c r="O70" s="23"/>
      <c r="P70" s="23"/>
      <c r="Q70" s="23"/>
    </row>
    <row r="71" spans="1:17" x14ac:dyDescent="0.25">
      <c r="C71" s="114"/>
    </row>
    <row r="72" spans="1:17" x14ac:dyDescent="0.25">
      <c r="C72" s="114"/>
    </row>
    <row r="73" spans="1:17" x14ac:dyDescent="0.25">
      <c r="C73" s="114"/>
    </row>
    <row r="74" spans="1:17" x14ac:dyDescent="0.25">
      <c r="C74" s="114"/>
    </row>
    <row r="75" spans="1:17" x14ac:dyDescent="0.25">
      <c r="C75" s="114"/>
    </row>
    <row r="76" spans="1:17" x14ac:dyDescent="0.25">
      <c r="C76" s="114"/>
    </row>
    <row r="77" spans="1:17" x14ac:dyDescent="0.25">
      <c r="C77" s="114"/>
    </row>
    <row r="78" spans="1:17" x14ac:dyDescent="0.25">
      <c r="C78" s="114"/>
    </row>
    <row r="79" spans="1:17" x14ac:dyDescent="0.25">
      <c r="C79" s="114"/>
    </row>
    <row r="80" spans="1:17" x14ac:dyDescent="0.25">
      <c r="C80" s="114"/>
    </row>
    <row r="81" spans="3:3" x14ac:dyDescent="0.25">
      <c r="C81" s="114"/>
    </row>
    <row r="82" spans="3:3" x14ac:dyDescent="0.25">
      <c r="C82" s="114"/>
    </row>
    <row r="83" spans="3:3" x14ac:dyDescent="0.25">
      <c r="C83" s="114"/>
    </row>
    <row r="84" spans="3:3" x14ac:dyDescent="0.25">
      <c r="C84" s="114"/>
    </row>
    <row r="85" spans="3:3" x14ac:dyDescent="0.25">
      <c r="C85" s="114"/>
    </row>
    <row r="86" spans="3:3" x14ac:dyDescent="0.25">
      <c r="C86" s="114"/>
    </row>
    <row r="87" spans="3:3" x14ac:dyDescent="0.25">
      <c r="C87" s="114"/>
    </row>
    <row r="88" spans="3:3" x14ac:dyDescent="0.25">
      <c r="C88" s="114"/>
    </row>
    <row r="89" spans="3:3" x14ac:dyDescent="0.25">
      <c r="C89" s="114"/>
    </row>
    <row r="90" spans="3:3" x14ac:dyDescent="0.25">
      <c r="C90" s="114"/>
    </row>
    <row r="91" spans="3:3" x14ac:dyDescent="0.25">
      <c r="C91" s="114"/>
    </row>
    <row r="92" spans="3:3" x14ac:dyDescent="0.25">
      <c r="C92" s="114"/>
    </row>
    <row r="93" spans="3:3" x14ac:dyDescent="0.25">
      <c r="C93" s="114"/>
    </row>
    <row r="94" spans="3:3" x14ac:dyDescent="0.25">
      <c r="C94" s="114"/>
    </row>
    <row r="95" spans="3:3" x14ac:dyDescent="0.25">
      <c r="C95" s="114"/>
    </row>
    <row r="96" spans="3:3" x14ac:dyDescent="0.25">
      <c r="C96" s="114"/>
    </row>
    <row r="97" spans="3:3" x14ac:dyDescent="0.25">
      <c r="C97" s="114"/>
    </row>
    <row r="98" spans="3:3" x14ac:dyDescent="0.25">
      <c r="C98" s="114"/>
    </row>
    <row r="99" spans="3:3" x14ac:dyDescent="0.25">
      <c r="C99" s="114"/>
    </row>
    <row r="100" spans="3:3" x14ac:dyDescent="0.25">
      <c r="C100" s="114"/>
    </row>
    <row r="101" spans="3:3" x14ac:dyDescent="0.25">
      <c r="C101" s="114"/>
    </row>
    <row r="102" spans="3:3" x14ac:dyDescent="0.25">
      <c r="C102" s="114"/>
    </row>
    <row r="103" spans="3:3" x14ac:dyDescent="0.25">
      <c r="C103" s="114"/>
    </row>
    <row r="104" spans="3:3" x14ac:dyDescent="0.25">
      <c r="C104" s="114"/>
    </row>
    <row r="105" spans="3:3" x14ac:dyDescent="0.25">
      <c r="C105" s="114"/>
    </row>
    <row r="106" spans="3:3" x14ac:dyDescent="0.25">
      <c r="C106" s="114"/>
    </row>
    <row r="107" spans="3:3" x14ac:dyDescent="0.25">
      <c r="C107" s="114"/>
    </row>
    <row r="108" spans="3:3" x14ac:dyDescent="0.25">
      <c r="C108" s="114"/>
    </row>
    <row r="109" spans="3:3" x14ac:dyDescent="0.25">
      <c r="C109" s="114"/>
    </row>
    <row r="110" spans="3:3" x14ac:dyDescent="0.25">
      <c r="C110" s="114"/>
    </row>
    <row r="111" spans="3:3" x14ac:dyDescent="0.25">
      <c r="C111" s="114"/>
    </row>
    <row r="112" spans="3:3" x14ac:dyDescent="0.25">
      <c r="C112" s="114"/>
    </row>
    <row r="113" spans="3:3" x14ac:dyDescent="0.25">
      <c r="C113" s="114"/>
    </row>
    <row r="114" spans="3:3" x14ac:dyDescent="0.25">
      <c r="C114" s="114"/>
    </row>
    <row r="115" spans="3:3" x14ac:dyDescent="0.25">
      <c r="C115" s="114"/>
    </row>
    <row r="116" spans="3:3" x14ac:dyDescent="0.25">
      <c r="C116" s="114"/>
    </row>
    <row r="117" spans="3:3" x14ac:dyDescent="0.25">
      <c r="C117" s="114"/>
    </row>
    <row r="118" spans="3:3" x14ac:dyDescent="0.25">
      <c r="C118" s="114"/>
    </row>
    <row r="119" spans="3:3" x14ac:dyDescent="0.25">
      <c r="C119" s="114"/>
    </row>
    <row r="120" spans="3:3" x14ac:dyDescent="0.25">
      <c r="C120" s="114"/>
    </row>
    <row r="121" spans="3:3" x14ac:dyDescent="0.25">
      <c r="C121" s="114"/>
    </row>
    <row r="122" spans="3:3" x14ac:dyDescent="0.25">
      <c r="C122" s="114"/>
    </row>
    <row r="123" spans="3:3" x14ac:dyDescent="0.25">
      <c r="C123" s="114"/>
    </row>
    <row r="124" spans="3:3" x14ac:dyDescent="0.25">
      <c r="C124" s="114"/>
    </row>
    <row r="125" spans="3:3" x14ac:dyDescent="0.25">
      <c r="C125" s="114"/>
    </row>
    <row r="126" spans="3:3" x14ac:dyDescent="0.25">
      <c r="C126" s="114"/>
    </row>
    <row r="127" spans="3:3" x14ac:dyDescent="0.25">
      <c r="C127" s="114"/>
    </row>
    <row r="128" spans="3:3" x14ac:dyDescent="0.25">
      <c r="C128" s="114"/>
    </row>
    <row r="129" spans="3:3" x14ac:dyDescent="0.25">
      <c r="C129" s="114"/>
    </row>
    <row r="130" spans="3:3" x14ac:dyDescent="0.25">
      <c r="C130" s="114"/>
    </row>
    <row r="131" spans="3:3" x14ac:dyDescent="0.25">
      <c r="C131" s="114"/>
    </row>
    <row r="132" spans="3:3" x14ac:dyDescent="0.25">
      <c r="C132" s="114"/>
    </row>
    <row r="133" spans="3:3" x14ac:dyDescent="0.25">
      <c r="C133" s="114"/>
    </row>
    <row r="134" spans="3:3" x14ac:dyDescent="0.25">
      <c r="C134" s="114"/>
    </row>
    <row r="135" spans="3:3" x14ac:dyDescent="0.25">
      <c r="C135" s="114"/>
    </row>
    <row r="136" spans="3:3" x14ac:dyDescent="0.25">
      <c r="C136" s="114"/>
    </row>
    <row r="137" spans="3:3" x14ac:dyDescent="0.25">
      <c r="C137" s="114"/>
    </row>
    <row r="138" spans="3:3" x14ac:dyDescent="0.25">
      <c r="C138" s="114"/>
    </row>
    <row r="139" spans="3:3" x14ac:dyDescent="0.25">
      <c r="C139" s="114"/>
    </row>
    <row r="140" spans="3:3" x14ac:dyDescent="0.25">
      <c r="C140" s="114"/>
    </row>
    <row r="141" spans="3:3" x14ac:dyDescent="0.25">
      <c r="C141" s="114"/>
    </row>
    <row r="142" spans="3:3" x14ac:dyDescent="0.25">
      <c r="C142" s="114"/>
    </row>
    <row r="143" spans="3:3" x14ac:dyDescent="0.25">
      <c r="C143" s="114"/>
    </row>
    <row r="144" spans="3:3" x14ac:dyDescent="0.25">
      <c r="C144" s="114"/>
    </row>
    <row r="145" spans="3:3" x14ac:dyDescent="0.25">
      <c r="C145" s="114"/>
    </row>
    <row r="146" spans="3:3" x14ac:dyDescent="0.25">
      <c r="C146" s="114"/>
    </row>
    <row r="147" spans="3:3" x14ac:dyDescent="0.25">
      <c r="C147" s="114"/>
    </row>
    <row r="148" spans="3:3" x14ac:dyDescent="0.25">
      <c r="C148" s="114"/>
    </row>
    <row r="149" spans="3:3" x14ac:dyDescent="0.25">
      <c r="C149" s="114"/>
    </row>
    <row r="150" spans="3:3" x14ac:dyDescent="0.25">
      <c r="C150" s="114"/>
    </row>
    <row r="151" spans="3:3" x14ac:dyDescent="0.25">
      <c r="C151" s="114"/>
    </row>
    <row r="152" spans="3:3" x14ac:dyDescent="0.25">
      <c r="C152" s="114"/>
    </row>
    <row r="153" spans="3:3" x14ac:dyDescent="0.25">
      <c r="C153" s="114"/>
    </row>
    <row r="154" spans="3:3" x14ac:dyDescent="0.25">
      <c r="C154" s="114"/>
    </row>
    <row r="155" spans="3:3" x14ac:dyDescent="0.25">
      <c r="C155" s="114"/>
    </row>
    <row r="156" spans="3:3" x14ac:dyDescent="0.25">
      <c r="C156" s="114"/>
    </row>
    <row r="157" spans="3:3" x14ac:dyDescent="0.25">
      <c r="C157" s="114"/>
    </row>
    <row r="158" spans="3:3" x14ac:dyDescent="0.25">
      <c r="C158" s="114"/>
    </row>
    <row r="159" spans="3:3" x14ac:dyDescent="0.25">
      <c r="C159" s="114"/>
    </row>
  </sheetData>
  <phoneticPr fontId="0" type="noConversion"/>
  <hyperlinks>
    <hyperlink ref="A1" location="'Working Budget with funding det'!A1" display="Main " xr:uid="{00000000-0004-0000-1A00-000000000000}"/>
    <hyperlink ref="B1" location="'Table of Contents'!A1" display="TOC" xr:uid="{00000000-0004-0000-1A00-000001000000}"/>
  </hyperlinks>
  <pageMargins left="0.75" right="0.75" top="1" bottom="1" header="0.5" footer="0.5"/>
  <pageSetup scale="99" fitToHeight="2" orientation="landscape" horizontalDpi="300" verticalDpi="300" r:id="rId1"/>
  <headerFooter alignWithMargins="0">
    <oddFooter>&amp;L&amp;D  &amp;T&amp;C&amp;F&amp;R&amp;A</oddFooter>
  </headerFooter>
  <rowBreaks count="1" manualBreakCount="1">
    <brk id="30" max="15"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U169"/>
  <sheetViews>
    <sheetView topLeftCell="A17" zoomScaleNormal="100" workbookViewId="0">
      <selection activeCell="O39" sqref="O39:P42"/>
    </sheetView>
  </sheetViews>
  <sheetFormatPr defaultRowHeight="13.2" x14ac:dyDescent="0.25"/>
  <cols>
    <col min="1" max="1" width="10.77734375" style="885" customWidth="1"/>
    <col min="2" max="2" width="36.6640625" customWidth="1"/>
    <col min="3" max="3" width="14.44140625" style="1" hidden="1" customWidth="1"/>
    <col min="4" max="10" width="14.44140625" style="114" hidden="1" customWidth="1"/>
    <col min="11" max="13" width="14.44140625" style="114" customWidth="1"/>
    <col min="14" max="14" width="14.44140625" customWidth="1"/>
    <col min="15" max="17" width="14.44140625" style="1" customWidth="1"/>
    <col min="18" max="20" width="14.44140625" customWidth="1"/>
    <col min="21" max="21" width="14.6640625" style="2" customWidth="1"/>
  </cols>
  <sheetData>
    <row r="1" spans="1:20" x14ac:dyDescent="0.25">
      <c r="A1" s="874" t="s">
        <v>1021</v>
      </c>
      <c r="B1" s="371" t="s">
        <v>1348</v>
      </c>
      <c r="Q1"/>
    </row>
    <row r="2" spans="1:20" ht="13.8" x14ac:dyDescent="0.25">
      <c r="A2" s="875" t="s">
        <v>261</v>
      </c>
      <c r="B2" s="45"/>
      <c r="E2" s="141"/>
      <c r="I2" s="141" t="s">
        <v>257</v>
      </c>
      <c r="J2" s="141"/>
      <c r="K2" s="141"/>
      <c r="L2" s="141"/>
      <c r="M2" s="141"/>
      <c r="N2" s="61" t="s">
        <v>365</v>
      </c>
      <c r="P2" s="46" t="s">
        <v>486</v>
      </c>
    </row>
    <row r="3" spans="1:20" ht="13.8" thickBot="1" x14ac:dyDescent="0.3">
      <c r="A3" s="876"/>
      <c r="B3" s="4"/>
      <c r="C3" s="23"/>
      <c r="D3" s="23"/>
      <c r="E3" s="23"/>
      <c r="F3" s="23"/>
      <c r="G3" s="23"/>
      <c r="H3" s="23"/>
      <c r="I3" s="23"/>
      <c r="J3" s="23"/>
      <c r="K3" s="23"/>
      <c r="L3" s="23"/>
      <c r="M3" s="23"/>
      <c r="N3" s="4"/>
      <c r="O3" s="23"/>
      <c r="P3" s="4"/>
      <c r="Q3" s="4"/>
      <c r="T3" s="4"/>
    </row>
    <row r="4" spans="1:20" ht="13.8" thickTop="1" x14ac:dyDescent="0.25">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t="s">
        <v>910</v>
      </c>
    </row>
    <row r="5" spans="1:20" x14ac:dyDescent="0.25">
      <c r="A5" s="878"/>
      <c r="B5" s="209"/>
      <c r="C5" s="127"/>
      <c r="D5" s="87"/>
      <c r="E5" s="113"/>
      <c r="F5" s="87"/>
      <c r="G5" s="87"/>
      <c r="H5" s="113"/>
      <c r="I5" s="290"/>
      <c r="J5" s="290"/>
      <c r="K5" s="290"/>
      <c r="L5" s="290"/>
      <c r="M5" s="290"/>
      <c r="N5" s="113" t="s">
        <v>515</v>
      </c>
      <c r="O5" s="88" t="s">
        <v>7</v>
      </c>
      <c r="P5" s="203" t="s">
        <v>782</v>
      </c>
    </row>
    <row r="6" spans="1:20" x14ac:dyDescent="0.25">
      <c r="A6" s="878"/>
      <c r="B6" s="209"/>
      <c r="C6" s="127"/>
      <c r="D6" s="127"/>
      <c r="E6" s="127"/>
      <c r="F6" s="127"/>
      <c r="G6" s="127"/>
      <c r="H6" s="127"/>
      <c r="I6" s="88"/>
      <c r="J6" s="88"/>
      <c r="K6" s="88"/>
      <c r="L6" s="88"/>
      <c r="M6" s="88"/>
      <c r="N6" s="127"/>
      <c r="O6" s="88" t="s">
        <v>8</v>
      </c>
      <c r="P6" s="47" t="s">
        <v>543</v>
      </c>
    </row>
    <row r="7" spans="1:20"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44561</v>
      </c>
      <c r="O7" s="9" t="s">
        <v>9</v>
      </c>
      <c r="P7" s="9" t="s">
        <v>546</v>
      </c>
    </row>
    <row r="8" spans="1:20" ht="13.8" thickTop="1" x14ac:dyDescent="0.25">
      <c r="A8" s="880"/>
      <c r="B8" s="177"/>
      <c r="C8" s="129"/>
      <c r="D8" s="315"/>
      <c r="E8" s="315"/>
      <c r="F8" s="315"/>
      <c r="G8" s="315"/>
      <c r="H8" s="315"/>
      <c r="I8" s="315"/>
      <c r="J8" s="315"/>
      <c r="K8" s="164"/>
      <c r="L8" s="164"/>
      <c r="M8" s="164"/>
      <c r="N8" s="62"/>
      <c r="O8" s="10"/>
      <c r="P8" s="10"/>
    </row>
    <row r="9" spans="1:20" x14ac:dyDescent="0.25">
      <c r="A9" s="881">
        <v>5111</v>
      </c>
      <c r="B9" s="63" t="s">
        <v>687</v>
      </c>
      <c r="C9" s="130">
        <v>96122.44</v>
      </c>
      <c r="D9" s="13">
        <v>98465.76</v>
      </c>
      <c r="E9" s="13">
        <v>101448.58</v>
      </c>
      <c r="F9" s="13">
        <v>103968.7</v>
      </c>
      <c r="G9" s="13">
        <v>105991</v>
      </c>
      <c r="H9" s="13">
        <v>112846.15</v>
      </c>
      <c r="I9" s="13">
        <v>104318.8</v>
      </c>
      <c r="J9" s="13">
        <v>108008.97</v>
      </c>
      <c r="K9" s="122">
        <v>110824</v>
      </c>
      <c r="L9" s="144">
        <v>115262.13</v>
      </c>
      <c r="M9" s="122">
        <v>113910</v>
      </c>
      <c r="N9" s="13">
        <v>50641.3</v>
      </c>
      <c r="O9" s="122">
        <f>ROUND((+N41+N42),0)</f>
        <v>106212</v>
      </c>
      <c r="P9" s="14"/>
    </row>
    <row r="10" spans="1:20" x14ac:dyDescent="0.25">
      <c r="A10" s="881">
        <v>5124</v>
      </c>
      <c r="B10" s="63" t="s">
        <v>185</v>
      </c>
      <c r="C10" s="130"/>
      <c r="D10" s="13"/>
      <c r="E10" s="13"/>
      <c r="F10" s="13"/>
      <c r="G10" s="13"/>
      <c r="H10" s="13">
        <v>2692.25</v>
      </c>
      <c r="I10" s="13">
        <v>1874.75</v>
      </c>
      <c r="J10" s="13"/>
      <c r="K10" s="14">
        <v>300</v>
      </c>
      <c r="L10" s="13"/>
      <c r="M10" s="14"/>
      <c r="N10" s="13"/>
      <c r="O10" s="14"/>
      <c r="P10" s="14"/>
    </row>
    <row r="11" spans="1:20" x14ac:dyDescent="0.25">
      <c r="A11" s="881">
        <v>5140</v>
      </c>
      <c r="B11" s="63" t="s">
        <v>174</v>
      </c>
      <c r="C11" s="130">
        <v>324.72000000000003</v>
      </c>
      <c r="D11" s="13">
        <v>487.08</v>
      </c>
      <c r="E11" s="13">
        <v>162.36000000000001</v>
      </c>
      <c r="F11" s="13"/>
      <c r="G11" s="13">
        <v>275</v>
      </c>
      <c r="H11" s="13"/>
      <c r="I11" s="13">
        <v>302.5</v>
      </c>
      <c r="J11" s="13">
        <v>464.75</v>
      </c>
      <c r="K11" s="14">
        <v>900</v>
      </c>
      <c r="L11" s="13">
        <v>889</v>
      </c>
      <c r="M11" s="14">
        <v>1150</v>
      </c>
      <c r="N11" s="144">
        <v>939.4</v>
      </c>
      <c r="O11" s="14">
        <v>1150</v>
      </c>
      <c r="P11" s="14"/>
    </row>
    <row r="12" spans="1:20" x14ac:dyDescent="0.25">
      <c r="A12" s="881">
        <v>5141</v>
      </c>
      <c r="B12" s="63" t="s">
        <v>175</v>
      </c>
      <c r="C12" s="130">
        <v>2976.6</v>
      </c>
      <c r="D12" s="13">
        <v>2408.34</v>
      </c>
      <c r="E12" s="13">
        <v>2841.3</v>
      </c>
      <c r="F12" s="13">
        <v>2282.5</v>
      </c>
      <c r="G12" s="13">
        <v>2530</v>
      </c>
      <c r="H12" s="13">
        <v>2282.5</v>
      </c>
      <c r="I12" s="13">
        <v>2117.5</v>
      </c>
      <c r="J12" s="13">
        <v>2030</v>
      </c>
      <c r="K12" s="14">
        <v>4250</v>
      </c>
      <c r="L12" s="13">
        <v>2275</v>
      </c>
      <c r="M12" s="14">
        <v>3900</v>
      </c>
      <c r="N12" s="13">
        <v>420</v>
      </c>
      <c r="O12" s="14">
        <v>3900</v>
      </c>
      <c r="P12" s="14"/>
    </row>
    <row r="13" spans="1:20" x14ac:dyDescent="0.25">
      <c r="A13" s="881">
        <v>5142</v>
      </c>
      <c r="B13" s="63" t="s">
        <v>179</v>
      </c>
      <c r="C13" s="130">
        <v>2516.58</v>
      </c>
      <c r="D13" s="13">
        <v>2570.6999999999998</v>
      </c>
      <c r="E13" s="13">
        <v>3220.14</v>
      </c>
      <c r="F13" s="13">
        <v>4840</v>
      </c>
      <c r="G13" s="13">
        <v>3685</v>
      </c>
      <c r="H13" s="13">
        <v>3052.5</v>
      </c>
      <c r="I13" s="13">
        <v>4152.5</v>
      </c>
      <c r="J13" s="13">
        <v>4760</v>
      </c>
      <c r="K13" s="14">
        <v>4250</v>
      </c>
      <c r="L13" s="13">
        <v>4620</v>
      </c>
      <c r="M13" s="14">
        <v>3900</v>
      </c>
      <c r="N13" s="13">
        <v>455</v>
      </c>
      <c r="O13" s="14">
        <v>3900</v>
      </c>
      <c r="P13" s="14"/>
    </row>
    <row r="14" spans="1:20" x14ac:dyDescent="0.25">
      <c r="A14" s="881">
        <v>5143</v>
      </c>
      <c r="B14" s="63" t="s">
        <v>181</v>
      </c>
      <c r="C14" s="130">
        <v>5412</v>
      </c>
      <c r="D14" s="13">
        <v>5709.66</v>
      </c>
      <c r="E14" s="13">
        <v>6332.04</v>
      </c>
      <c r="F14" s="13">
        <v>7727.5</v>
      </c>
      <c r="G14" s="13">
        <v>5940</v>
      </c>
      <c r="H14" s="13">
        <v>4950</v>
      </c>
      <c r="I14" s="13">
        <f>200+4922.5</f>
        <v>5122.5</v>
      </c>
      <c r="J14" s="13">
        <v>8330</v>
      </c>
      <c r="K14" s="14">
        <v>10750</v>
      </c>
      <c r="L14" s="13">
        <v>8295</v>
      </c>
      <c r="M14" s="14">
        <v>10750</v>
      </c>
      <c r="N14" s="13">
        <v>2590</v>
      </c>
      <c r="O14" s="14">
        <v>10750</v>
      </c>
      <c r="P14" s="14"/>
    </row>
    <row r="15" spans="1:20" x14ac:dyDescent="0.25">
      <c r="A15" s="881">
        <v>5144</v>
      </c>
      <c r="B15" s="63" t="s">
        <v>157</v>
      </c>
      <c r="C15" s="250">
        <v>600</v>
      </c>
      <c r="D15" s="37">
        <v>450</v>
      </c>
      <c r="E15" s="37">
        <v>500</v>
      </c>
      <c r="F15" s="37">
        <v>1000</v>
      </c>
      <c r="G15" s="37">
        <v>1900</v>
      </c>
      <c r="H15" s="37">
        <v>800</v>
      </c>
      <c r="I15" s="233">
        <v>800</v>
      </c>
      <c r="J15" s="233">
        <v>900</v>
      </c>
      <c r="K15" s="125">
        <v>900</v>
      </c>
      <c r="L15" s="233">
        <v>900</v>
      </c>
      <c r="M15" s="125">
        <v>900</v>
      </c>
      <c r="N15" s="37"/>
      <c r="O15" s="125">
        <f>+Q42</f>
        <v>900</v>
      </c>
      <c r="P15" s="125"/>
    </row>
    <row r="16" spans="1:20" ht="13.8" thickBot="1" x14ac:dyDescent="0.3">
      <c r="A16" s="881">
        <v>5145</v>
      </c>
      <c r="B16" s="63" t="s">
        <v>602</v>
      </c>
      <c r="C16" s="131">
        <v>300.04000000000002</v>
      </c>
      <c r="D16" s="15">
        <v>300.04000000000002</v>
      </c>
      <c r="E16" s="15">
        <v>300.04000000000002</v>
      </c>
      <c r="F16" s="13">
        <v>305.81</v>
      </c>
      <c r="G16" s="13">
        <v>300.04000000000002</v>
      </c>
      <c r="H16" s="13">
        <v>334.66</v>
      </c>
      <c r="I16" s="13">
        <v>300.04000000000002</v>
      </c>
      <c r="J16" s="13">
        <v>300.04000000000002</v>
      </c>
      <c r="K16" s="14">
        <v>300</v>
      </c>
      <c r="L16" s="13">
        <v>317.35000000000002</v>
      </c>
      <c r="M16" s="14">
        <v>300</v>
      </c>
      <c r="N16" s="13">
        <v>144.25</v>
      </c>
      <c r="O16" s="14">
        <v>300</v>
      </c>
      <c r="P16" s="14"/>
    </row>
    <row r="17" spans="1:17" x14ac:dyDescent="0.25">
      <c r="A17" s="881">
        <v>5193</v>
      </c>
      <c r="B17" s="63" t="s">
        <v>1226</v>
      </c>
      <c r="C17" s="709"/>
      <c r="D17" s="30"/>
      <c r="E17" s="30"/>
      <c r="F17" s="13"/>
      <c r="G17" s="13"/>
      <c r="H17" s="13">
        <v>3057.16</v>
      </c>
      <c r="I17" s="13"/>
      <c r="J17" s="13"/>
      <c r="K17" s="14"/>
      <c r="L17" s="13"/>
      <c r="M17" s="14"/>
      <c r="N17" s="13"/>
      <c r="O17" s="14"/>
      <c r="P17" s="14"/>
    </row>
    <row r="18" spans="1:17" ht="13.8" thickBot="1" x14ac:dyDescent="0.3">
      <c r="A18" s="881">
        <v>5194</v>
      </c>
      <c r="B18" s="63" t="s">
        <v>1227</v>
      </c>
      <c r="C18" s="709"/>
      <c r="D18" s="30"/>
      <c r="E18" s="30"/>
      <c r="F18" s="15"/>
      <c r="G18" s="15"/>
      <c r="H18" s="15">
        <v>3500</v>
      </c>
      <c r="I18" s="15"/>
      <c r="J18" s="15"/>
      <c r="K18" s="16"/>
      <c r="L18" s="15"/>
      <c r="M18" s="16"/>
      <c r="N18" s="15"/>
      <c r="O18" s="16"/>
      <c r="P18" s="16"/>
    </row>
    <row r="19" spans="1:17" x14ac:dyDescent="0.25">
      <c r="A19" s="881"/>
      <c r="B19" s="17" t="s">
        <v>130</v>
      </c>
      <c r="C19" s="18">
        <f t="shared" ref="C19:N19" si="0">SUM(C9:C16)</f>
        <v>108252.38</v>
      </c>
      <c r="D19" s="18">
        <f t="shared" si="0"/>
        <v>110391.57999999999</v>
      </c>
      <c r="E19" s="18">
        <f t="shared" si="0"/>
        <v>114804.45999999999</v>
      </c>
      <c r="F19" s="18">
        <f t="shared" ref="F19:M19" si="1">SUM(F9:F18)</f>
        <v>120124.51</v>
      </c>
      <c r="G19" s="18">
        <f t="shared" si="1"/>
        <v>120621.04</v>
      </c>
      <c r="H19" s="18">
        <f t="shared" si="1"/>
        <v>133515.22</v>
      </c>
      <c r="I19" s="18">
        <f t="shared" si="1"/>
        <v>118988.59</v>
      </c>
      <c r="J19" s="18">
        <f t="shared" si="1"/>
        <v>124793.76</v>
      </c>
      <c r="K19" s="19">
        <f t="shared" si="1"/>
        <v>132474</v>
      </c>
      <c r="L19" s="18">
        <f t="shared" si="1"/>
        <v>132558.48000000001</v>
      </c>
      <c r="M19" s="19">
        <f t="shared" si="1"/>
        <v>134810</v>
      </c>
      <c r="N19" s="18">
        <f t="shared" si="0"/>
        <v>55189.950000000004</v>
      </c>
      <c r="O19" s="19">
        <f>SUM(O9:O18)</f>
        <v>127112</v>
      </c>
      <c r="P19" s="19">
        <f>+O19</f>
        <v>127112</v>
      </c>
    </row>
    <row r="20" spans="1:17" x14ac:dyDescent="0.25">
      <c r="A20" s="881"/>
      <c r="B20" s="17"/>
      <c r="C20" s="18"/>
      <c r="D20" s="18"/>
      <c r="E20" s="18"/>
      <c r="F20" s="18"/>
      <c r="G20" s="18"/>
      <c r="H20" s="18"/>
      <c r="I20" s="18"/>
      <c r="J20" s="18"/>
      <c r="K20" s="124"/>
      <c r="L20" s="126"/>
      <c r="M20" s="124"/>
      <c r="N20" s="18"/>
      <c r="O20" s="124"/>
      <c r="P20" s="124"/>
    </row>
    <row r="21" spans="1:17" x14ac:dyDescent="0.25">
      <c r="A21" s="881"/>
      <c r="B21" s="12"/>
      <c r="C21" s="13"/>
      <c r="D21" s="13"/>
      <c r="E21" s="13"/>
      <c r="F21" s="13"/>
      <c r="G21" s="13"/>
      <c r="H21" s="13"/>
      <c r="I21" s="13"/>
      <c r="J21" s="13"/>
      <c r="K21" s="122"/>
      <c r="L21" s="144"/>
      <c r="M21" s="122"/>
      <c r="N21" s="13"/>
      <c r="O21" s="122"/>
      <c r="P21" s="122"/>
    </row>
    <row r="22" spans="1:17" x14ac:dyDescent="0.25">
      <c r="A22" s="881">
        <v>5314</v>
      </c>
      <c r="B22" s="12" t="s">
        <v>139</v>
      </c>
      <c r="C22" s="13">
        <v>505</v>
      </c>
      <c r="D22" s="13">
        <v>769</v>
      </c>
      <c r="E22" s="13">
        <v>570</v>
      </c>
      <c r="F22" s="13">
        <v>270</v>
      </c>
      <c r="G22" s="13">
        <v>424</v>
      </c>
      <c r="H22" s="13">
        <v>180.75</v>
      </c>
      <c r="I22" s="13">
        <v>775</v>
      </c>
      <c r="J22" s="13">
        <v>575.75</v>
      </c>
      <c r="K22" s="14">
        <v>800</v>
      </c>
      <c r="L22" s="13"/>
      <c r="M22" s="14">
        <v>600</v>
      </c>
      <c r="N22" s="13">
        <v>734</v>
      </c>
      <c r="O22" s="14">
        <v>800</v>
      </c>
      <c r="P22" s="14"/>
    </row>
    <row r="23" spans="1:17" x14ac:dyDescent="0.25">
      <c r="A23" s="881">
        <v>5341</v>
      </c>
      <c r="B23" s="12" t="s">
        <v>1143</v>
      </c>
      <c r="C23" s="13">
        <v>413.7</v>
      </c>
      <c r="D23" s="13">
        <v>409.63</v>
      </c>
      <c r="E23" s="13">
        <v>412.4</v>
      </c>
      <c r="F23" s="13">
        <v>457.98</v>
      </c>
      <c r="G23" s="13">
        <v>472.84</v>
      </c>
      <c r="H23" s="13"/>
      <c r="I23" s="13">
        <v>306.58999999999997</v>
      </c>
      <c r="J23" s="13">
        <v>959.8</v>
      </c>
      <c r="K23" s="14">
        <v>960</v>
      </c>
      <c r="L23" s="13">
        <v>973.12</v>
      </c>
      <c r="M23" s="14">
        <v>960</v>
      </c>
      <c r="N23" s="13">
        <v>399.9</v>
      </c>
      <c r="O23" s="14">
        <v>960</v>
      </c>
      <c r="P23" s="14"/>
      <c r="Q23" s="224"/>
    </row>
    <row r="24" spans="1:17" x14ac:dyDescent="0.25">
      <c r="A24" s="881">
        <v>5344</v>
      </c>
      <c r="B24" s="12" t="s">
        <v>142</v>
      </c>
      <c r="C24" s="13">
        <v>219.02</v>
      </c>
      <c r="D24" s="13">
        <v>243.85</v>
      </c>
      <c r="E24" s="13">
        <v>244.23</v>
      </c>
      <c r="F24" s="13">
        <v>170.9</v>
      </c>
      <c r="G24" s="13">
        <v>207.64</v>
      </c>
      <c r="H24" s="13">
        <v>272.11</v>
      </c>
      <c r="I24" s="13">
        <v>42.28</v>
      </c>
      <c r="J24" s="13">
        <v>26.45</v>
      </c>
      <c r="K24" s="14">
        <v>250</v>
      </c>
      <c r="L24" s="103">
        <v>155.66999999999999</v>
      </c>
      <c r="M24" s="14">
        <v>150</v>
      </c>
      <c r="N24" s="103"/>
      <c r="O24" s="14">
        <v>150</v>
      </c>
      <c r="P24" s="14"/>
    </row>
    <row r="25" spans="1:17" x14ac:dyDescent="0.25">
      <c r="A25" s="881">
        <v>5345</v>
      </c>
      <c r="B25" s="12" t="s">
        <v>143</v>
      </c>
      <c r="C25" s="13"/>
      <c r="D25" s="13"/>
      <c r="E25" s="13"/>
      <c r="F25" s="13"/>
      <c r="G25" s="13"/>
      <c r="H25" s="13">
        <v>644.76</v>
      </c>
      <c r="I25" s="13"/>
      <c r="J25" s="13"/>
      <c r="K25" s="14"/>
      <c r="L25" s="103"/>
      <c r="M25" s="14"/>
      <c r="N25" s="103"/>
      <c r="O25" s="14"/>
      <c r="P25" s="14"/>
    </row>
    <row r="26" spans="1:17" x14ac:dyDescent="0.25">
      <c r="A26" s="881">
        <v>5350</v>
      </c>
      <c r="B26" s="12" t="s">
        <v>1346</v>
      </c>
      <c r="C26" s="13"/>
      <c r="D26" s="13"/>
      <c r="E26" s="13"/>
      <c r="F26" s="13"/>
      <c r="G26" s="13"/>
      <c r="H26" s="13"/>
      <c r="I26" s="13"/>
      <c r="J26" s="13">
        <v>6000</v>
      </c>
      <c r="K26" s="14">
        <v>4500</v>
      </c>
      <c r="L26" s="103">
        <v>4500</v>
      </c>
      <c r="M26" s="14">
        <v>4500</v>
      </c>
      <c r="N26" s="103">
        <v>4500</v>
      </c>
      <c r="O26" s="14">
        <v>4500</v>
      </c>
      <c r="P26" s="14"/>
    </row>
    <row r="27" spans="1:17" x14ac:dyDescent="0.25">
      <c r="A27" s="881">
        <v>5420</v>
      </c>
      <c r="B27" s="12" t="s">
        <v>144</v>
      </c>
      <c r="C27" s="13">
        <v>409.8</v>
      </c>
      <c r="D27" s="13">
        <v>757.31</v>
      </c>
      <c r="E27" s="13">
        <v>467.68</v>
      </c>
      <c r="F27" s="13">
        <v>659.16</v>
      </c>
      <c r="G27" s="13">
        <v>900.34</v>
      </c>
      <c r="H27" s="13">
        <v>2481.89</v>
      </c>
      <c r="I27" s="13">
        <v>441.73</v>
      </c>
      <c r="J27" s="13">
        <v>676.53</v>
      </c>
      <c r="K27" s="14">
        <v>700</v>
      </c>
      <c r="L27" s="103">
        <v>179.78</v>
      </c>
      <c r="M27" s="14">
        <v>700</v>
      </c>
      <c r="N27" s="103">
        <v>298.2</v>
      </c>
      <c r="O27" s="14">
        <v>900</v>
      </c>
      <c r="P27" s="14"/>
    </row>
    <row r="28" spans="1:17" x14ac:dyDescent="0.25">
      <c r="A28" s="881">
        <v>5581</v>
      </c>
      <c r="B28" s="12" t="s">
        <v>146</v>
      </c>
      <c r="C28" s="75"/>
      <c r="D28" s="13">
        <v>0</v>
      </c>
      <c r="E28" s="13"/>
      <c r="F28" s="13"/>
      <c r="G28" s="13"/>
      <c r="H28" s="13">
        <v>1321.6</v>
      </c>
      <c r="I28" s="13">
        <v>100</v>
      </c>
      <c r="J28" s="13">
        <v>0</v>
      </c>
      <c r="K28" s="14">
        <v>400</v>
      </c>
      <c r="L28" s="13"/>
      <c r="M28" s="14">
        <v>400</v>
      </c>
      <c r="N28" s="13">
        <v>369.24</v>
      </c>
      <c r="O28" s="14">
        <v>800</v>
      </c>
      <c r="P28" s="14"/>
    </row>
    <row r="29" spans="1:17" x14ac:dyDescent="0.25">
      <c r="A29" s="881">
        <v>5590</v>
      </c>
      <c r="B29" s="12" t="s">
        <v>1142</v>
      </c>
      <c r="C29" s="13"/>
      <c r="D29" s="13"/>
      <c r="E29" s="13"/>
      <c r="F29" s="13"/>
      <c r="G29" s="13"/>
      <c r="H29" s="13">
        <v>1606.14</v>
      </c>
      <c r="I29" s="13">
        <v>753.57</v>
      </c>
      <c r="J29" s="13"/>
      <c r="K29" s="14"/>
      <c r="L29" s="103"/>
      <c r="M29" s="14"/>
      <c r="N29" s="103">
        <v>906.64</v>
      </c>
      <c r="O29" s="14"/>
      <c r="P29" s="19"/>
    </row>
    <row r="30" spans="1:17" x14ac:dyDescent="0.25">
      <c r="A30" s="881">
        <v>5710</v>
      </c>
      <c r="B30" s="12" t="s">
        <v>133</v>
      </c>
      <c r="C30" s="18">
        <v>1845.47</v>
      </c>
      <c r="D30" s="18">
        <v>1812.25</v>
      </c>
      <c r="E30" s="18">
        <v>1758.79</v>
      </c>
      <c r="F30" s="18">
        <v>1752.48</v>
      </c>
      <c r="G30" s="18">
        <v>1486.05</v>
      </c>
      <c r="H30" s="18">
        <v>1778.58</v>
      </c>
      <c r="I30" s="18">
        <v>2731.22</v>
      </c>
      <c r="J30" s="18">
        <v>1612.07</v>
      </c>
      <c r="K30" s="19">
        <v>1200</v>
      </c>
      <c r="L30" s="18">
        <v>1296.72</v>
      </c>
      <c r="M30" s="19">
        <v>800</v>
      </c>
      <c r="N30" s="126"/>
      <c r="O30" s="19">
        <v>2000</v>
      </c>
      <c r="P30" s="19"/>
    </row>
    <row r="31" spans="1:17" ht="13.8" thickBot="1" x14ac:dyDescent="0.3">
      <c r="A31" s="881">
        <v>5730</v>
      </c>
      <c r="B31" s="12" t="s">
        <v>147</v>
      </c>
      <c r="C31" s="15">
        <v>80</v>
      </c>
      <c r="D31" s="15">
        <v>80</v>
      </c>
      <c r="E31" s="15">
        <v>80</v>
      </c>
      <c r="F31" s="15">
        <v>80</v>
      </c>
      <c r="G31" s="15">
        <v>80</v>
      </c>
      <c r="H31" s="15">
        <v>350</v>
      </c>
      <c r="I31" s="15">
        <v>80</v>
      </c>
      <c r="J31" s="15">
        <v>551</v>
      </c>
      <c r="K31" s="16">
        <v>160</v>
      </c>
      <c r="L31" s="15">
        <v>180</v>
      </c>
      <c r="M31" s="16">
        <v>160</v>
      </c>
      <c r="N31" s="15"/>
      <c r="O31" s="16">
        <v>160</v>
      </c>
      <c r="P31" s="16"/>
    </row>
    <row r="32" spans="1:17" x14ac:dyDescent="0.25">
      <c r="A32" s="881"/>
      <c r="B32" s="17" t="s">
        <v>449</v>
      </c>
      <c r="C32" s="18">
        <f t="shared" ref="C32:O32" si="2">SUM(C22:C31)</f>
        <v>3472.99</v>
      </c>
      <c r="D32" s="18">
        <f t="shared" si="2"/>
        <v>4072.04</v>
      </c>
      <c r="E32" s="18">
        <f t="shared" si="2"/>
        <v>3533.1</v>
      </c>
      <c r="F32" s="18">
        <f t="shared" si="2"/>
        <v>3390.52</v>
      </c>
      <c r="G32" s="18">
        <f t="shared" si="2"/>
        <v>3570.87</v>
      </c>
      <c r="H32" s="18">
        <f t="shared" si="2"/>
        <v>8635.83</v>
      </c>
      <c r="I32" s="18">
        <f t="shared" si="2"/>
        <v>5230.3899999999994</v>
      </c>
      <c r="J32" s="18">
        <f t="shared" ref="J32" si="3">SUM(J22:J31)</f>
        <v>10401.6</v>
      </c>
      <c r="K32" s="19">
        <f t="shared" ref="K32:M32" si="4">SUM(K22:K31)</f>
        <v>8970</v>
      </c>
      <c r="L32" s="18">
        <f t="shared" si="4"/>
        <v>7285.29</v>
      </c>
      <c r="M32" s="19">
        <f t="shared" si="4"/>
        <v>8270</v>
      </c>
      <c r="N32" s="18">
        <f t="shared" si="2"/>
        <v>7207.98</v>
      </c>
      <c r="O32" s="19">
        <f t="shared" si="2"/>
        <v>10270</v>
      </c>
      <c r="P32" s="19">
        <f>+O32</f>
        <v>10270</v>
      </c>
    </row>
    <row r="33" spans="1:20" x14ac:dyDescent="0.25">
      <c r="A33" s="881"/>
      <c r="B33" s="12"/>
      <c r="C33" s="13"/>
      <c r="D33" s="13"/>
      <c r="E33" s="13"/>
      <c r="F33" s="13"/>
      <c r="G33" s="13"/>
      <c r="H33" s="13"/>
      <c r="I33" s="13"/>
      <c r="J33" s="13"/>
      <c r="K33" s="14"/>
      <c r="L33" s="13"/>
      <c r="M33" s="14"/>
      <c r="N33" s="13"/>
      <c r="O33" s="14"/>
      <c r="P33" s="14"/>
    </row>
    <row r="34" spans="1:20" ht="13.8" thickBot="1" x14ac:dyDescent="0.3">
      <c r="A34" s="882"/>
      <c r="B34" s="20" t="s">
        <v>296</v>
      </c>
      <c r="C34" s="21">
        <f t="shared" ref="C34:P34" si="5">+C32+C19</f>
        <v>111725.37000000001</v>
      </c>
      <c r="D34" s="21">
        <f t="shared" si="5"/>
        <v>114463.61999999998</v>
      </c>
      <c r="E34" s="21">
        <f t="shared" si="5"/>
        <v>118337.56</v>
      </c>
      <c r="F34" s="21">
        <f t="shared" si="5"/>
        <v>123515.03</v>
      </c>
      <c r="G34" s="21">
        <f t="shared" si="5"/>
        <v>124191.90999999999</v>
      </c>
      <c r="H34" s="21">
        <f t="shared" si="5"/>
        <v>142151.04999999999</v>
      </c>
      <c r="I34" s="21">
        <f t="shared" si="5"/>
        <v>124218.98</v>
      </c>
      <c r="J34" s="21">
        <f t="shared" ref="J34" si="6">+J32+J19</f>
        <v>135195.35999999999</v>
      </c>
      <c r="K34" s="22">
        <f t="shared" ref="K34:M34" si="7">+K32+K19</f>
        <v>141444</v>
      </c>
      <c r="L34" s="21">
        <f t="shared" si="7"/>
        <v>139843.77000000002</v>
      </c>
      <c r="M34" s="22">
        <f t="shared" si="7"/>
        <v>143080</v>
      </c>
      <c r="N34" s="21">
        <f t="shared" si="5"/>
        <v>62397.930000000008</v>
      </c>
      <c r="O34" s="22">
        <f t="shared" si="5"/>
        <v>137382</v>
      </c>
      <c r="P34" s="22">
        <f t="shared" si="5"/>
        <v>137382</v>
      </c>
    </row>
    <row r="35" spans="1:20" ht="16.2" thickTop="1" x14ac:dyDescent="0.3">
      <c r="A35" s="57">
        <v>43788</v>
      </c>
      <c r="B35" s="4" t="s">
        <v>1349</v>
      </c>
      <c r="C35" s="23"/>
      <c r="D35" s="23"/>
      <c r="E35" s="23"/>
      <c r="F35" s="23"/>
      <c r="G35" s="23"/>
      <c r="H35" s="23"/>
      <c r="I35" s="23"/>
      <c r="J35" s="23"/>
      <c r="K35" s="23"/>
      <c r="L35" s="23"/>
      <c r="M35" s="23"/>
      <c r="N35" s="27"/>
      <c r="O35" s="23"/>
      <c r="P35" s="77"/>
      <c r="Q35" s="23"/>
      <c r="R35" s="27"/>
      <c r="S35" s="208"/>
      <c r="T35" s="27"/>
    </row>
    <row r="36" spans="1:20" x14ac:dyDescent="0.25">
      <c r="A36" s="876"/>
      <c r="B36" s="4"/>
      <c r="C36" s="24"/>
      <c r="D36" s="23"/>
      <c r="E36" s="23"/>
      <c r="F36" s="23"/>
      <c r="G36" s="23"/>
      <c r="H36" s="23"/>
      <c r="I36" s="23"/>
      <c r="J36" s="23"/>
      <c r="K36" s="23"/>
      <c r="L36" s="23"/>
      <c r="M36" s="23"/>
      <c r="N36" s="27"/>
      <c r="O36" s="23"/>
      <c r="P36" s="77"/>
      <c r="Q36" s="27"/>
      <c r="R36" s="27"/>
      <c r="S36" s="27"/>
      <c r="T36" s="27"/>
    </row>
    <row r="37" spans="1:20" x14ac:dyDescent="0.25">
      <c r="A37" s="876" t="s">
        <v>527</v>
      </c>
      <c r="B37" s="4"/>
    </row>
    <row r="38" spans="1:20" ht="13.8" thickBot="1" x14ac:dyDescent="0.3">
      <c r="A38" s="876"/>
      <c r="B38" s="4"/>
    </row>
    <row r="39" spans="1:20" ht="13.8" thickTop="1" x14ac:dyDescent="0.25">
      <c r="A39" s="883" t="s">
        <v>891</v>
      </c>
      <c r="B39" s="107"/>
      <c r="K39" s="149" t="s">
        <v>85</v>
      </c>
      <c r="L39" s="156" t="s">
        <v>33</v>
      </c>
      <c r="M39" s="168" t="s">
        <v>580</v>
      </c>
      <c r="N39" s="158" t="s">
        <v>579</v>
      </c>
      <c r="O39"/>
      <c r="P39" s="212"/>
      <c r="Q39"/>
    </row>
    <row r="40" spans="1:20" ht="13.8" thickBot="1" x14ac:dyDescent="0.3">
      <c r="A40" s="884" t="s">
        <v>892</v>
      </c>
      <c r="B40" s="109" t="s">
        <v>528</v>
      </c>
      <c r="K40" s="343">
        <v>44743</v>
      </c>
      <c r="L40" s="159" t="s">
        <v>576</v>
      </c>
      <c r="M40" s="160" t="s">
        <v>34</v>
      </c>
      <c r="N40" s="160" t="s">
        <v>106</v>
      </c>
      <c r="O40" s="234"/>
      <c r="P40" s="234"/>
      <c r="Q40" s="234" t="s">
        <v>350</v>
      </c>
    </row>
    <row r="41" spans="1:20" ht="13.8" thickTop="1" x14ac:dyDescent="0.25">
      <c r="A41" s="171"/>
      <c r="B41" s="110" t="s">
        <v>387</v>
      </c>
      <c r="K41" s="19" t="s">
        <v>1631</v>
      </c>
      <c r="L41" s="155"/>
      <c r="M41" s="18"/>
      <c r="N41" s="155">
        <f>+'NAGE &amp; Non-Union Wages'!E10</f>
        <v>65317</v>
      </c>
      <c r="O41" s="171"/>
      <c r="P41" s="885"/>
    </row>
    <row r="42" spans="1:20" x14ac:dyDescent="0.25">
      <c r="A42" s="171"/>
      <c r="B42" s="63" t="s">
        <v>1218</v>
      </c>
      <c r="K42" s="14" t="s">
        <v>1314</v>
      </c>
      <c r="L42" s="166">
        <f>+'NAGE &amp; Non-Union Wages'!L5</f>
        <v>22.47</v>
      </c>
      <c r="M42" s="18">
        <v>1820</v>
      </c>
      <c r="N42" s="155">
        <f>+ROUND((+L42*M42),2)</f>
        <v>40895.4</v>
      </c>
      <c r="O42" s="171"/>
      <c r="P42" s="885"/>
      <c r="Q42" s="1">
        <v>900</v>
      </c>
    </row>
    <row r="43" spans="1:20" x14ac:dyDescent="0.25">
      <c r="A43" s="876"/>
      <c r="B43" s="4"/>
      <c r="C43" s="23"/>
      <c r="D43" s="23"/>
      <c r="E43" s="23"/>
      <c r="I43" s="23"/>
      <c r="J43" s="23"/>
      <c r="K43" s="23"/>
      <c r="L43" s="23"/>
      <c r="M43" s="23"/>
      <c r="N43" s="27"/>
      <c r="O43" s="23"/>
      <c r="P43" s="23"/>
      <c r="Q43" s="23"/>
      <c r="R43" s="27"/>
      <c r="S43" s="27"/>
      <c r="T43" s="27"/>
    </row>
    <row r="44" spans="1:20" ht="13.8" thickBot="1" x14ac:dyDescent="0.3">
      <c r="A44" s="876"/>
      <c r="B44" s="4"/>
      <c r="C44" s="23"/>
      <c r="D44" s="23"/>
      <c r="E44" s="23"/>
      <c r="I44" s="23"/>
      <c r="J44" s="23"/>
      <c r="K44" s="23"/>
      <c r="L44" s="23"/>
      <c r="M44" s="23"/>
      <c r="N44" s="27"/>
      <c r="O44" s="23"/>
      <c r="P44" s="23"/>
      <c r="Q44" s="23"/>
      <c r="R44" s="27"/>
      <c r="S44" s="27"/>
      <c r="T44" s="27"/>
    </row>
    <row r="45" spans="1:20" ht="13.8" thickTop="1" x14ac:dyDescent="0.25">
      <c r="A45" s="893"/>
      <c r="B45" s="452"/>
      <c r="C45" s="453" t="s">
        <v>127</v>
      </c>
      <c r="D45" s="454" t="s">
        <v>127</v>
      </c>
      <c r="E45" s="454" t="s">
        <v>127</v>
      </c>
      <c r="K45" s="455" t="s">
        <v>547</v>
      </c>
      <c r="L45" s="456" t="s">
        <v>9</v>
      </c>
      <c r="M45" s="457" t="s">
        <v>1073</v>
      </c>
      <c r="N45" s="456" t="s">
        <v>686</v>
      </c>
      <c r="O45" s="458"/>
      <c r="P45" s="457"/>
      <c r="Q45" s="23"/>
      <c r="R45" s="27"/>
      <c r="S45" s="27"/>
      <c r="T45" s="27"/>
    </row>
    <row r="46" spans="1:20" ht="13.8" thickBot="1" x14ac:dyDescent="0.3">
      <c r="A46" s="894" t="s">
        <v>128</v>
      </c>
      <c r="B46" s="459"/>
      <c r="C46" s="460" t="s">
        <v>347</v>
      </c>
      <c r="D46" s="460" t="s">
        <v>722</v>
      </c>
      <c r="E46" s="461" t="s">
        <v>737</v>
      </c>
      <c r="K46" s="462" t="s">
        <v>909</v>
      </c>
      <c r="L46" s="462" t="s">
        <v>910</v>
      </c>
      <c r="M46" s="461" t="s">
        <v>1075</v>
      </c>
      <c r="N46" s="463" t="s">
        <v>1075</v>
      </c>
      <c r="O46" s="464" t="s">
        <v>1074</v>
      </c>
      <c r="P46" s="462"/>
      <c r="Q46" s="23"/>
      <c r="R46" s="27"/>
      <c r="S46" s="27"/>
      <c r="T46" s="27"/>
    </row>
    <row r="47" spans="1:20" ht="13.8" thickTop="1" x14ac:dyDescent="0.25">
      <c r="A47" s="906"/>
      <c r="B47" s="487"/>
      <c r="C47" s="488"/>
      <c r="D47" s="489"/>
      <c r="E47" s="489"/>
      <c r="K47" s="490"/>
      <c r="L47" s="466"/>
      <c r="M47" s="490"/>
      <c r="N47" s="488"/>
      <c r="O47" s="470"/>
      <c r="P47" s="471"/>
      <c r="Q47" s="23"/>
      <c r="R47" s="27"/>
      <c r="S47" s="27"/>
      <c r="T47" s="27"/>
    </row>
    <row r="48" spans="1:20" x14ac:dyDescent="0.25">
      <c r="A48" s="907">
        <v>5111</v>
      </c>
      <c r="B48" s="472" t="s">
        <v>687</v>
      </c>
      <c r="C48" s="476">
        <v>96122.44</v>
      </c>
      <c r="D48" s="476">
        <v>98465.76</v>
      </c>
      <c r="E48" s="476">
        <v>101448.58</v>
      </c>
      <c r="K48" s="475">
        <f t="shared" ref="K48:K55" si="8">+M9</f>
        <v>113910</v>
      </c>
      <c r="L48" s="497">
        <f>+O9</f>
        <v>106212</v>
      </c>
      <c r="M48" s="471">
        <f t="shared" ref="M48:M65" si="9">+L48-K48</f>
        <v>-7698</v>
      </c>
      <c r="N48" s="477">
        <f t="shared" ref="N48:N65" si="10">IF(K48+L48&lt;&gt;0,IF(K48&lt;&gt;0,IF(M48&lt;&gt;0,ROUND((+M48/K48),4),""),1),"")</f>
        <v>-6.7599999999999993E-2</v>
      </c>
      <c r="O48" s="470" t="s">
        <v>1745</v>
      </c>
      <c r="P48" s="471"/>
      <c r="Q48" s="23"/>
      <c r="R48" s="27"/>
      <c r="S48" s="27"/>
      <c r="T48" s="27"/>
    </row>
    <row r="49" spans="1:20" x14ac:dyDescent="0.25">
      <c r="A49" s="907">
        <v>5124</v>
      </c>
      <c r="B49" s="472" t="s">
        <v>185</v>
      </c>
      <c r="C49" s="476"/>
      <c r="D49" s="476"/>
      <c r="E49" s="476"/>
      <c r="K49" s="475">
        <f t="shared" si="8"/>
        <v>0</v>
      </c>
      <c r="L49" s="497"/>
      <c r="M49" s="471">
        <f t="shared" si="9"/>
        <v>0</v>
      </c>
      <c r="N49" s="477" t="str">
        <f t="shared" si="10"/>
        <v/>
      </c>
      <c r="O49" s="470"/>
      <c r="P49" s="471"/>
      <c r="Q49" s="23"/>
      <c r="R49" s="27"/>
      <c r="S49" s="27"/>
      <c r="T49" s="27"/>
    </row>
    <row r="50" spans="1:20" x14ac:dyDescent="0.25">
      <c r="A50" s="907">
        <v>5140</v>
      </c>
      <c r="B50" s="472" t="s">
        <v>174</v>
      </c>
      <c r="C50" s="476">
        <v>324.72000000000003</v>
      </c>
      <c r="D50" s="476">
        <v>487.08</v>
      </c>
      <c r="E50" s="476">
        <v>162.36000000000001</v>
      </c>
      <c r="K50" s="475">
        <f t="shared" si="8"/>
        <v>1150</v>
      </c>
      <c r="L50" s="497">
        <f t="shared" ref="L50:L55" si="11">+O11</f>
        <v>1150</v>
      </c>
      <c r="M50" s="471">
        <f t="shared" si="9"/>
        <v>0</v>
      </c>
      <c r="N50" s="477" t="str">
        <f t="shared" si="10"/>
        <v/>
      </c>
      <c r="O50" s="470"/>
      <c r="P50" s="471"/>
      <c r="Q50" s="23"/>
      <c r="R50" s="27"/>
      <c r="S50" s="27"/>
      <c r="T50" s="27"/>
    </row>
    <row r="51" spans="1:20" x14ac:dyDescent="0.25">
      <c r="A51" s="907">
        <v>5141</v>
      </c>
      <c r="B51" s="472" t="s">
        <v>175</v>
      </c>
      <c r="C51" s="476">
        <v>2976.6</v>
      </c>
      <c r="D51" s="476">
        <v>2408.34</v>
      </c>
      <c r="E51" s="476">
        <v>2841.3</v>
      </c>
      <c r="K51" s="475">
        <f t="shared" si="8"/>
        <v>3900</v>
      </c>
      <c r="L51" s="497">
        <f t="shared" si="11"/>
        <v>3900</v>
      </c>
      <c r="M51" s="471">
        <f t="shared" si="9"/>
        <v>0</v>
      </c>
      <c r="N51" s="477" t="str">
        <f t="shared" si="10"/>
        <v/>
      </c>
      <c r="O51" s="470"/>
      <c r="P51" s="471"/>
      <c r="Q51" s="23"/>
      <c r="R51" s="27"/>
      <c r="S51" s="27"/>
      <c r="T51" s="27"/>
    </row>
    <row r="52" spans="1:20" x14ac:dyDescent="0.25">
      <c r="A52" s="907">
        <v>5142</v>
      </c>
      <c r="B52" s="472" t="s">
        <v>179</v>
      </c>
      <c r="C52" s="476">
        <v>2516.58</v>
      </c>
      <c r="D52" s="476">
        <v>2570.6999999999998</v>
      </c>
      <c r="E52" s="476">
        <v>3220.14</v>
      </c>
      <c r="K52" s="475">
        <f t="shared" si="8"/>
        <v>3900</v>
      </c>
      <c r="L52" s="497">
        <f t="shared" si="11"/>
        <v>3900</v>
      </c>
      <c r="M52" s="471">
        <f t="shared" si="9"/>
        <v>0</v>
      </c>
      <c r="N52" s="477" t="str">
        <f t="shared" si="10"/>
        <v/>
      </c>
      <c r="O52" s="470"/>
      <c r="P52" s="471"/>
      <c r="Q52" s="23"/>
      <c r="R52" s="27"/>
      <c r="S52" s="27"/>
      <c r="T52" s="27"/>
    </row>
    <row r="53" spans="1:20" x14ac:dyDescent="0.25">
      <c r="A53" s="907">
        <v>5143</v>
      </c>
      <c r="B53" s="472" t="s">
        <v>181</v>
      </c>
      <c r="C53" s="476">
        <v>5412</v>
      </c>
      <c r="D53" s="476">
        <v>5709.66</v>
      </c>
      <c r="E53" s="476">
        <v>6332.04</v>
      </c>
      <c r="K53" s="475">
        <f t="shared" si="8"/>
        <v>10750</v>
      </c>
      <c r="L53" s="497">
        <f t="shared" si="11"/>
        <v>10750</v>
      </c>
      <c r="M53" s="471">
        <f t="shared" si="9"/>
        <v>0</v>
      </c>
      <c r="N53" s="477" t="str">
        <f t="shared" si="10"/>
        <v/>
      </c>
      <c r="O53" s="470"/>
      <c r="P53" s="471"/>
      <c r="Q53" s="23"/>
      <c r="R53" s="27"/>
      <c r="S53" s="27"/>
      <c r="T53" s="27"/>
    </row>
    <row r="54" spans="1:20" x14ac:dyDescent="0.25">
      <c r="A54" s="907">
        <v>5144</v>
      </c>
      <c r="B54" s="472" t="s">
        <v>157</v>
      </c>
      <c r="C54" s="478">
        <v>600</v>
      </c>
      <c r="D54" s="478">
        <v>450</v>
      </c>
      <c r="E54" s="478">
        <v>500</v>
      </c>
      <c r="K54" s="475">
        <f t="shared" si="8"/>
        <v>900</v>
      </c>
      <c r="L54" s="497">
        <f t="shared" si="11"/>
        <v>900</v>
      </c>
      <c r="M54" s="471">
        <f t="shared" si="9"/>
        <v>0</v>
      </c>
      <c r="N54" s="477" t="str">
        <f t="shared" si="10"/>
        <v/>
      </c>
      <c r="O54" s="470"/>
      <c r="P54" s="471"/>
      <c r="Q54" s="23"/>
      <c r="R54" s="27"/>
      <c r="S54" s="27"/>
      <c r="T54" s="27"/>
    </row>
    <row r="55" spans="1:20" ht="13.8" thickBot="1" x14ac:dyDescent="0.3">
      <c r="A55" s="907">
        <v>5145</v>
      </c>
      <c r="B55" s="472" t="s">
        <v>602</v>
      </c>
      <c r="C55" s="474">
        <v>300.04000000000002</v>
      </c>
      <c r="D55" s="474">
        <v>300.04000000000002</v>
      </c>
      <c r="E55" s="474">
        <v>300.04000000000002</v>
      </c>
      <c r="K55" s="475">
        <f t="shared" si="8"/>
        <v>300</v>
      </c>
      <c r="L55" s="497">
        <f t="shared" si="11"/>
        <v>300</v>
      </c>
      <c r="M55" s="471">
        <f t="shared" si="9"/>
        <v>0</v>
      </c>
      <c r="N55" s="477" t="str">
        <f t="shared" si="10"/>
        <v/>
      </c>
      <c r="O55" s="470"/>
      <c r="P55" s="471"/>
      <c r="Q55" s="23"/>
      <c r="R55" s="27"/>
      <c r="S55" s="27"/>
      <c r="T55" s="27"/>
    </row>
    <row r="56" spans="1:20" x14ac:dyDescent="0.25">
      <c r="A56" s="907">
        <v>5314</v>
      </c>
      <c r="B56" s="472" t="s">
        <v>139</v>
      </c>
      <c r="C56" s="476">
        <v>505</v>
      </c>
      <c r="D56" s="476">
        <v>769</v>
      </c>
      <c r="E56" s="476">
        <v>570</v>
      </c>
      <c r="K56" s="469">
        <f t="shared" ref="K56:K65" si="12">+M22</f>
        <v>600</v>
      </c>
      <c r="L56" s="497">
        <f t="shared" ref="L56:L65" si="13">+O22</f>
        <v>800</v>
      </c>
      <c r="M56" s="471">
        <f t="shared" si="9"/>
        <v>200</v>
      </c>
      <c r="N56" s="477">
        <f t="shared" si="10"/>
        <v>0.33329999999999999</v>
      </c>
      <c r="O56" s="470" t="s">
        <v>1746</v>
      </c>
      <c r="P56" s="471"/>
      <c r="Q56" s="23"/>
      <c r="R56" s="27"/>
      <c r="S56" s="27"/>
      <c r="T56" s="27"/>
    </row>
    <row r="57" spans="1:20" x14ac:dyDescent="0.25">
      <c r="A57" s="907">
        <v>5341</v>
      </c>
      <c r="B57" s="472" t="s">
        <v>1143</v>
      </c>
      <c r="C57" s="476">
        <v>413.7</v>
      </c>
      <c r="D57" s="476">
        <v>409.63</v>
      </c>
      <c r="E57" s="476">
        <v>412.4</v>
      </c>
      <c r="K57" s="469">
        <f t="shared" si="12"/>
        <v>960</v>
      </c>
      <c r="L57" s="497">
        <f t="shared" si="13"/>
        <v>960</v>
      </c>
      <c r="M57" s="471">
        <f t="shared" si="9"/>
        <v>0</v>
      </c>
      <c r="N57" s="477" t="str">
        <f t="shared" si="10"/>
        <v/>
      </c>
      <c r="O57" s="470"/>
      <c r="P57" s="471"/>
      <c r="Q57" s="23"/>
      <c r="R57" s="27"/>
      <c r="S57" s="27"/>
      <c r="T57" s="27"/>
    </row>
    <row r="58" spans="1:20" x14ac:dyDescent="0.25">
      <c r="A58" s="907">
        <v>5344</v>
      </c>
      <c r="B58" s="472" t="s">
        <v>142</v>
      </c>
      <c r="C58" s="476">
        <v>219.02</v>
      </c>
      <c r="D58" s="476">
        <v>243.85</v>
      </c>
      <c r="E58" s="476">
        <v>244.23</v>
      </c>
      <c r="K58" s="469">
        <f t="shared" si="12"/>
        <v>150</v>
      </c>
      <c r="L58" s="497">
        <f t="shared" si="13"/>
        <v>150</v>
      </c>
      <c r="M58" s="471">
        <f t="shared" si="9"/>
        <v>0</v>
      </c>
      <c r="N58" s="477" t="str">
        <f t="shared" si="10"/>
        <v/>
      </c>
      <c r="O58" s="470"/>
      <c r="P58" s="471"/>
      <c r="Q58" s="23"/>
      <c r="R58" s="27"/>
      <c r="S58" s="27"/>
      <c r="T58" s="27"/>
    </row>
    <row r="59" spans="1:20" x14ac:dyDescent="0.25">
      <c r="A59" s="907">
        <v>5345</v>
      </c>
      <c r="B59" s="472" t="s">
        <v>143</v>
      </c>
      <c r="C59" s="476"/>
      <c r="D59" s="476"/>
      <c r="E59" s="476"/>
      <c r="K59" s="469">
        <f t="shared" si="12"/>
        <v>0</v>
      </c>
      <c r="L59" s="497">
        <f t="shared" si="13"/>
        <v>0</v>
      </c>
      <c r="M59" s="471">
        <f t="shared" si="9"/>
        <v>0</v>
      </c>
      <c r="N59" s="477" t="str">
        <f t="shared" si="10"/>
        <v/>
      </c>
      <c r="O59" s="470"/>
      <c r="P59" s="471"/>
      <c r="Q59" s="23"/>
      <c r="R59" s="27"/>
      <c r="S59" s="27"/>
      <c r="T59" s="27"/>
    </row>
    <row r="60" spans="1:20" x14ac:dyDescent="0.25">
      <c r="A60" s="907">
        <v>5350</v>
      </c>
      <c r="B60" s="472" t="s">
        <v>1253</v>
      </c>
      <c r="C60" s="476">
        <v>409.8</v>
      </c>
      <c r="D60" s="476">
        <v>757.31</v>
      </c>
      <c r="E60" s="476">
        <v>467.68</v>
      </c>
      <c r="K60" s="469">
        <f t="shared" si="12"/>
        <v>4500</v>
      </c>
      <c r="L60" s="497">
        <f t="shared" si="13"/>
        <v>4500</v>
      </c>
      <c r="M60" s="471">
        <f t="shared" si="9"/>
        <v>0</v>
      </c>
      <c r="N60" s="477" t="str">
        <f t="shared" si="10"/>
        <v/>
      </c>
      <c r="O60" s="470"/>
      <c r="P60" s="471"/>
      <c r="Q60" s="23"/>
      <c r="R60" s="27"/>
      <c r="S60" s="27"/>
      <c r="T60" s="27"/>
    </row>
    <row r="61" spans="1:20" x14ac:dyDescent="0.25">
      <c r="A61" s="907">
        <v>5420</v>
      </c>
      <c r="B61" s="472" t="s">
        <v>144</v>
      </c>
      <c r="C61" s="476"/>
      <c r="D61" s="476"/>
      <c r="E61" s="476"/>
      <c r="K61" s="469">
        <f t="shared" si="12"/>
        <v>700</v>
      </c>
      <c r="L61" s="497">
        <f t="shared" si="13"/>
        <v>900</v>
      </c>
      <c r="M61" s="471">
        <f t="shared" si="9"/>
        <v>200</v>
      </c>
      <c r="N61" s="477">
        <f t="shared" si="10"/>
        <v>0.28570000000000001</v>
      </c>
      <c r="O61" s="470"/>
      <c r="P61" s="471"/>
      <c r="Q61" s="23"/>
      <c r="R61" s="27"/>
      <c r="S61" s="27"/>
      <c r="T61" s="27"/>
    </row>
    <row r="62" spans="1:20" x14ac:dyDescent="0.25">
      <c r="A62" s="907">
        <v>5581</v>
      </c>
      <c r="B62" s="472" t="s">
        <v>146</v>
      </c>
      <c r="C62" s="498"/>
      <c r="D62" s="476">
        <v>0</v>
      </c>
      <c r="E62" s="476"/>
      <c r="K62" s="469">
        <f t="shared" si="12"/>
        <v>400</v>
      </c>
      <c r="L62" s="497">
        <f t="shared" si="13"/>
        <v>800</v>
      </c>
      <c r="M62" s="471">
        <f t="shared" si="9"/>
        <v>400</v>
      </c>
      <c r="N62" s="477">
        <f t="shared" si="10"/>
        <v>1</v>
      </c>
      <c r="O62" s="470" t="s">
        <v>1747</v>
      </c>
      <c r="P62" s="471"/>
      <c r="Q62" s="23"/>
      <c r="R62" s="27"/>
      <c r="S62" s="27"/>
      <c r="T62" s="27"/>
    </row>
    <row r="63" spans="1:20" x14ac:dyDescent="0.25">
      <c r="A63" s="907">
        <v>5590</v>
      </c>
      <c r="B63" s="472" t="s">
        <v>1142</v>
      </c>
      <c r="C63" s="468">
        <v>1845.47</v>
      </c>
      <c r="D63" s="468">
        <v>1812.25</v>
      </c>
      <c r="E63" s="468">
        <v>1758.79</v>
      </c>
      <c r="K63" s="469">
        <f t="shared" si="12"/>
        <v>0</v>
      </c>
      <c r="L63" s="497">
        <f t="shared" si="13"/>
        <v>0</v>
      </c>
      <c r="M63" s="471">
        <f t="shared" si="9"/>
        <v>0</v>
      </c>
      <c r="N63" s="477" t="str">
        <f t="shared" si="10"/>
        <v/>
      </c>
      <c r="O63" s="470"/>
      <c r="P63" s="471"/>
      <c r="Q63" s="23"/>
      <c r="R63" s="4"/>
      <c r="S63" s="4"/>
      <c r="T63" s="4"/>
    </row>
    <row r="64" spans="1:20" ht="13.8" thickBot="1" x14ac:dyDescent="0.3">
      <c r="A64" s="907">
        <v>5710</v>
      </c>
      <c r="B64" s="472" t="s">
        <v>133</v>
      </c>
      <c r="C64" s="474">
        <v>80</v>
      </c>
      <c r="D64" s="474">
        <v>80</v>
      </c>
      <c r="E64" s="474">
        <v>80</v>
      </c>
      <c r="K64" s="469">
        <f t="shared" si="12"/>
        <v>800</v>
      </c>
      <c r="L64" s="497">
        <f t="shared" si="13"/>
        <v>2000</v>
      </c>
      <c r="M64" s="471">
        <f t="shared" si="9"/>
        <v>1200</v>
      </c>
      <c r="N64" s="477">
        <f t="shared" si="10"/>
        <v>1.5</v>
      </c>
      <c r="O64" s="470" t="s">
        <v>1748</v>
      </c>
      <c r="P64" s="471"/>
      <c r="Q64" s="23"/>
      <c r="R64" s="4"/>
      <c r="S64" s="4"/>
      <c r="T64" s="4"/>
    </row>
    <row r="65" spans="1:20" x14ac:dyDescent="0.25">
      <c r="A65" s="907">
        <v>5730</v>
      </c>
      <c r="B65" s="472" t="s">
        <v>147</v>
      </c>
      <c r="C65" s="23"/>
      <c r="D65" s="23"/>
      <c r="E65" s="23"/>
      <c r="F65" s="23"/>
      <c r="K65" s="469">
        <f t="shared" si="12"/>
        <v>160</v>
      </c>
      <c r="L65" s="497">
        <f t="shared" si="13"/>
        <v>160</v>
      </c>
      <c r="M65" s="471">
        <f t="shared" si="9"/>
        <v>0</v>
      </c>
      <c r="N65" s="477" t="str">
        <f t="shared" si="10"/>
        <v/>
      </c>
      <c r="O65" s="470"/>
      <c r="P65" s="471"/>
      <c r="Q65" s="23"/>
      <c r="R65" s="4"/>
      <c r="S65" s="4"/>
      <c r="T65" s="4"/>
    </row>
    <row r="66" spans="1:20" x14ac:dyDescent="0.25">
      <c r="A66" s="876"/>
      <c r="B66" s="4"/>
      <c r="C66" s="23"/>
      <c r="D66" s="23"/>
      <c r="E66" s="23"/>
      <c r="F66" s="23"/>
      <c r="G66" s="23"/>
      <c r="K66" s="23"/>
      <c r="L66" s="23"/>
      <c r="M66" s="23"/>
      <c r="N66" s="4"/>
      <c r="O66" s="23"/>
      <c r="P66" s="23"/>
      <c r="Q66" s="23"/>
      <c r="R66" s="4"/>
      <c r="S66" s="4"/>
      <c r="T66" s="4"/>
    </row>
    <row r="67" spans="1:20" x14ac:dyDescent="0.25">
      <c r="A67" s="876"/>
      <c r="B67" s="4" t="s">
        <v>1363</v>
      </c>
      <c r="C67" s="23"/>
      <c r="D67" s="23"/>
      <c r="E67" s="23"/>
      <c r="F67" s="23"/>
      <c r="G67" s="23"/>
      <c r="K67" s="742">
        <f>SUM(K48:K65)</f>
        <v>143080</v>
      </c>
      <c r="L67" s="742">
        <f>SUM(L48:L65)</f>
        <v>137382</v>
      </c>
      <c r="M67" s="202">
        <f>+L67-K67</f>
        <v>-5698</v>
      </c>
      <c r="N67" s="743">
        <f>IF(K67+L67&lt;&gt;0,IF(K67&lt;&gt;0,IF(M67&lt;&gt;0,ROUND((+M67/K67),4),""),1),"")</f>
        <v>-3.9800000000000002E-2</v>
      </c>
      <c r="O67" s="23"/>
      <c r="P67" s="23"/>
      <c r="Q67" s="23"/>
      <c r="R67" s="4"/>
      <c r="S67" s="4"/>
      <c r="T67" s="4"/>
    </row>
    <row r="68" spans="1:20" x14ac:dyDescent="0.25">
      <c r="A68" s="876"/>
      <c r="B68" s="4"/>
      <c r="C68" s="23"/>
      <c r="D68" s="23"/>
      <c r="E68" s="23"/>
      <c r="F68" s="23"/>
      <c r="G68" s="23"/>
      <c r="H68" s="23"/>
      <c r="I68" s="23"/>
      <c r="J68" s="23"/>
      <c r="K68" s="23"/>
      <c r="L68" s="23"/>
      <c r="M68" s="23"/>
      <c r="N68" s="4"/>
      <c r="O68" s="23"/>
      <c r="P68" s="23"/>
      <c r="Q68" s="23"/>
      <c r="R68" s="4"/>
      <c r="S68" s="4"/>
      <c r="T68" s="4"/>
    </row>
    <row r="69" spans="1:20" x14ac:dyDescent="0.25">
      <c r="A69" s="876"/>
      <c r="B69" s="4"/>
      <c r="C69" s="23"/>
      <c r="D69" s="23"/>
      <c r="E69" s="23"/>
      <c r="F69" s="23"/>
      <c r="G69" s="23"/>
      <c r="H69" s="23"/>
      <c r="I69" s="23"/>
      <c r="J69" s="23"/>
      <c r="K69" s="23"/>
      <c r="L69" s="23"/>
      <c r="M69" s="23"/>
      <c r="N69" s="4"/>
      <c r="O69" s="23"/>
      <c r="P69" s="23"/>
      <c r="Q69" s="23"/>
      <c r="R69" s="4"/>
      <c r="S69" s="4"/>
      <c r="T69" s="4"/>
    </row>
    <row r="70" spans="1:20" x14ac:dyDescent="0.25">
      <c r="A70" s="876"/>
      <c r="B70" s="4"/>
      <c r="C70" s="23"/>
      <c r="D70" s="23"/>
      <c r="E70" s="23"/>
      <c r="F70" s="23"/>
      <c r="G70" s="23"/>
      <c r="H70" s="23"/>
      <c r="I70" s="23"/>
      <c r="J70" s="23"/>
      <c r="K70" s="23"/>
      <c r="L70" s="23"/>
      <c r="M70" s="23"/>
      <c r="N70" s="4"/>
      <c r="O70" s="23"/>
      <c r="P70" s="23"/>
      <c r="Q70" s="23"/>
      <c r="R70" s="4"/>
      <c r="S70" s="4"/>
      <c r="T70" s="4"/>
    </row>
    <row r="71" spans="1:20" x14ac:dyDescent="0.25">
      <c r="A71" s="876"/>
      <c r="B71" s="4"/>
      <c r="C71" s="23"/>
      <c r="D71" s="23"/>
      <c r="E71" s="23"/>
      <c r="F71" s="23"/>
      <c r="G71" s="23"/>
      <c r="H71" s="23"/>
      <c r="I71" s="23"/>
      <c r="J71" s="23"/>
      <c r="K71" s="23"/>
      <c r="L71" s="23"/>
      <c r="M71" s="23"/>
      <c r="N71" s="4"/>
      <c r="O71" s="23"/>
      <c r="P71" s="23"/>
      <c r="Q71" s="23"/>
      <c r="R71" s="4"/>
      <c r="S71" s="4"/>
      <c r="T71" s="4"/>
    </row>
    <row r="72" spans="1:20" x14ac:dyDescent="0.25">
      <c r="A72" s="876"/>
      <c r="B72" s="4"/>
      <c r="C72" s="23"/>
      <c r="D72" s="23"/>
      <c r="E72" s="23"/>
      <c r="F72" s="23"/>
      <c r="G72" s="23"/>
      <c r="H72" s="23"/>
      <c r="I72" s="23"/>
      <c r="J72" s="23"/>
      <c r="K72" s="23"/>
      <c r="L72" s="23"/>
      <c r="M72" s="23"/>
      <c r="N72" s="4"/>
      <c r="O72" s="23"/>
      <c r="P72" s="23"/>
      <c r="Q72" s="23"/>
      <c r="R72" s="4"/>
      <c r="S72" s="4"/>
      <c r="T72" s="4"/>
    </row>
    <row r="73" spans="1:20" x14ac:dyDescent="0.25">
      <c r="A73" s="876"/>
      <c r="B73" s="4"/>
      <c r="C73" s="23"/>
      <c r="D73" s="23"/>
      <c r="E73" s="23"/>
      <c r="F73" s="23"/>
      <c r="G73" s="23"/>
      <c r="H73" s="23"/>
      <c r="I73" s="23"/>
      <c r="J73" s="23"/>
      <c r="K73" s="23"/>
      <c r="L73" s="23"/>
      <c r="M73" s="23"/>
      <c r="N73" s="4"/>
      <c r="O73" s="23"/>
      <c r="P73" s="23"/>
      <c r="Q73" s="23"/>
      <c r="R73" s="4"/>
      <c r="S73" s="4"/>
      <c r="T73" s="4"/>
    </row>
    <row r="74" spans="1:20" x14ac:dyDescent="0.25">
      <c r="A74" s="876"/>
      <c r="B74" s="4"/>
      <c r="C74" s="23"/>
      <c r="D74" s="23"/>
      <c r="E74" s="23"/>
      <c r="F74" s="23"/>
      <c r="G74" s="23"/>
      <c r="H74" s="23"/>
      <c r="I74" s="23"/>
      <c r="J74" s="23"/>
      <c r="K74" s="23"/>
      <c r="L74" s="23"/>
      <c r="M74" s="23"/>
      <c r="N74" s="4"/>
      <c r="O74" s="23"/>
      <c r="P74" s="23"/>
      <c r="Q74" s="23"/>
      <c r="R74" s="4"/>
      <c r="S74" s="4"/>
      <c r="T74" s="4"/>
    </row>
    <row r="75" spans="1:20" x14ac:dyDescent="0.25">
      <c r="A75" s="876"/>
      <c r="B75" s="4"/>
      <c r="C75" s="23"/>
      <c r="D75" s="23"/>
      <c r="E75" s="23"/>
      <c r="F75" s="23"/>
      <c r="G75" s="23"/>
      <c r="H75" s="23"/>
      <c r="I75" s="23"/>
      <c r="J75" s="23"/>
      <c r="K75" s="23"/>
      <c r="L75" s="23"/>
      <c r="M75" s="23"/>
      <c r="N75" s="4"/>
      <c r="O75" s="23"/>
      <c r="P75" s="23"/>
      <c r="Q75" s="23"/>
      <c r="R75" s="4"/>
      <c r="S75" s="4"/>
      <c r="T75" s="4"/>
    </row>
    <row r="76" spans="1:20" x14ac:dyDescent="0.25">
      <c r="A76" s="876"/>
      <c r="B76" s="4"/>
      <c r="C76" s="23"/>
      <c r="D76" s="23"/>
      <c r="E76" s="23"/>
      <c r="F76" s="23"/>
      <c r="G76" s="23"/>
      <c r="H76" s="23"/>
      <c r="I76" s="23"/>
      <c r="J76" s="23"/>
      <c r="K76" s="23"/>
      <c r="L76" s="23"/>
      <c r="M76" s="23"/>
      <c r="N76" s="4"/>
      <c r="O76" s="23"/>
      <c r="P76" s="23"/>
      <c r="Q76" s="23"/>
      <c r="R76" s="4"/>
      <c r="S76" s="4"/>
      <c r="T76" s="4"/>
    </row>
    <row r="77" spans="1:20" x14ac:dyDescent="0.25">
      <c r="A77" s="876"/>
      <c r="B77" s="4"/>
      <c r="C77" s="23"/>
      <c r="D77" s="23"/>
      <c r="E77" s="23"/>
      <c r="F77" s="23"/>
      <c r="G77" s="23"/>
      <c r="H77" s="23"/>
      <c r="I77" s="23"/>
      <c r="J77" s="23"/>
      <c r="K77" s="23"/>
      <c r="L77" s="23"/>
      <c r="M77" s="23"/>
      <c r="N77" s="4"/>
      <c r="O77" s="23"/>
      <c r="P77" s="23"/>
      <c r="Q77" s="23"/>
      <c r="R77" s="4"/>
      <c r="S77" s="4"/>
      <c r="T77" s="4"/>
    </row>
    <row r="78" spans="1:20" x14ac:dyDescent="0.25">
      <c r="A78" s="876"/>
      <c r="B78" s="4"/>
      <c r="C78" s="23"/>
      <c r="D78" s="23"/>
      <c r="E78" s="23"/>
      <c r="F78" s="23"/>
      <c r="G78" s="23"/>
      <c r="H78" s="23"/>
      <c r="I78" s="23"/>
      <c r="J78" s="23"/>
      <c r="K78" s="23"/>
      <c r="L78" s="23"/>
      <c r="M78" s="23"/>
      <c r="N78" s="4"/>
      <c r="O78" s="23"/>
      <c r="P78" s="23"/>
      <c r="Q78" s="23"/>
      <c r="R78" s="4"/>
      <c r="S78" s="4"/>
      <c r="T78" s="4"/>
    </row>
    <row r="79" spans="1:20" x14ac:dyDescent="0.25">
      <c r="A79" s="876"/>
      <c r="B79" s="4"/>
      <c r="C79" s="23"/>
      <c r="D79" s="23"/>
      <c r="E79" s="23"/>
      <c r="F79" s="23"/>
      <c r="G79" s="23"/>
      <c r="H79" s="23"/>
      <c r="I79" s="23"/>
      <c r="J79" s="23"/>
      <c r="K79" s="23"/>
      <c r="L79" s="23"/>
      <c r="M79" s="23"/>
      <c r="N79" s="4"/>
      <c r="O79" s="23"/>
      <c r="P79" s="23"/>
      <c r="Q79" s="23"/>
      <c r="R79" s="4"/>
      <c r="S79" s="4"/>
      <c r="T79" s="4"/>
    </row>
    <row r="80" spans="1:20" x14ac:dyDescent="0.25">
      <c r="A80" s="876"/>
      <c r="B80" s="4"/>
      <c r="C80" s="23"/>
      <c r="D80" s="23"/>
      <c r="E80" s="23"/>
      <c r="F80" s="23"/>
      <c r="G80" s="23"/>
      <c r="H80" s="23"/>
      <c r="I80" s="23"/>
      <c r="J80" s="23"/>
      <c r="K80" s="23"/>
      <c r="L80" s="23"/>
      <c r="M80" s="23"/>
      <c r="N80" s="4"/>
      <c r="O80" s="23"/>
      <c r="P80" s="23"/>
      <c r="Q80" s="23"/>
      <c r="R80" s="4"/>
      <c r="S80" s="4"/>
      <c r="T80" s="4"/>
    </row>
    <row r="81" spans="1:20" x14ac:dyDescent="0.25">
      <c r="A81" s="876"/>
      <c r="B81" s="4"/>
      <c r="C81" s="23"/>
      <c r="D81" s="23"/>
      <c r="E81" s="23"/>
      <c r="F81" s="23"/>
      <c r="G81" s="23"/>
      <c r="H81" s="23"/>
      <c r="I81" s="23"/>
      <c r="J81" s="23"/>
      <c r="K81" s="23"/>
      <c r="L81" s="23"/>
      <c r="M81" s="23"/>
      <c r="N81" s="4"/>
      <c r="O81" s="23"/>
      <c r="P81" s="23"/>
      <c r="Q81" s="23"/>
      <c r="R81" s="4"/>
      <c r="S81" s="4"/>
      <c r="T81" s="4"/>
    </row>
    <row r="82" spans="1:20" x14ac:dyDescent="0.25">
      <c r="A82" s="876"/>
      <c r="B82" s="4"/>
      <c r="C82" s="23"/>
      <c r="D82" s="23"/>
      <c r="E82" s="23"/>
      <c r="F82" s="23"/>
      <c r="G82" s="23"/>
      <c r="H82" s="23"/>
      <c r="I82" s="23"/>
      <c r="J82" s="23"/>
      <c r="K82" s="23"/>
      <c r="L82" s="23"/>
      <c r="M82" s="23"/>
      <c r="N82" s="4"/>
      <c r="O82" s="23"/>
      <c r="P82" s="23"/>
      <c r="Q82" s="23"/>
      <c r="R82" s="4"/>
      <c r="S82" s="4"/>
      <c r="T82" s="4"/>
    </row>
    <row r="83" spans="1:20" x14ac:dyDescent="0.25">
      <c r="A83" s="876"/>
      <c r="B83" s="4"/>
      <c r="C83" s="23"/>
      <c r="D83" s="23"/>
      <c r="E83" s="23"/>
      <c r="F83" s="23"/>
      <c r="G83" s="23"/>
      <c r="H83" s="23"/>
      <c r="I83" s="23"/>
      <c r="J83" s="23"/>
      <c r="K83" s="23"/>
      <c r="L83" s="23"/>
      <c r="M83" s="23"/>
      <c r="N83" s="4"/>
      <c r="O83" s="23"/>
      <c r="P83" s="23"/>
      <c r="Q83" s="23"/>
      <c r="R83" s="4"/>
      <c r="S83" s="4"/>
      <c r="T83" s="4"/>
    </row>
    <row r="84" spans="1:20" x14ac:dyDescent="0.25">
      <c r="A84" s="876"/>
      <c r="B84" s="4"/>
      <c r="C84" s="23"/>
      <c r="D84" s="23"/>
      <c r="E84" s="23"/>
      <c r="F84" s="23"/>
      <c r="G84" s="23"/>
      <c r="H84" s="23"/>
      <c r="I84" s="23"/>
      <c r="J84" s="23"/>
      <c r="K84" s="23"/>
      <c r="L84" s="23"/>
      <c r="M84" s="23"/>
      <c r="N84" s="4"/>
      <c r="O84" s="23"/>
      <c r="P84" s="23"/>
      <c r="Q84" s="23"/>
      <c r="R84" s="4"/>
      <c r="S84" s="4"/>
      <c r="T84" s="4"/>
    </row>
    <row r="85" spans="1:20" x14ac:dyDescent="0.25">
      <c r="A85" s="876"/>
      <c r="B85" s="4"/>
      <c r="C85" s="23"/>
      <c r="D85" s="23"/>
      <c r="E85" s="23"/>
      <c r="F85" s="23"/>
      <c r="G85" s="23"/>
      <c r="H85" s="23"/>
      <c r="I85" s="23"/>
      <c r="J85" s="23"/>
      <c r="K85" s="23"/>
      <c r="L85" s="23"/>
      <c r="M85" s="23"/>
      <c r="N85" s="4"/>
      <c r="O85" s="23"/>
      <c r="P85" s="23"/>
      <c r="Q85" s="23"/>
      <c r="R85" s="4"/>
      <c r="S85" s="4"/>
      <c r="T85" s="4"/>
    </row>
    <row r="86" spans="1:20" x14ac:dyDescent="0.25">
      <c r="A86" s="876"/>
      <c r="B86" s="4"/>
      <c r="C86" s="23"/>
      <c r="D86" s="23"/>
      <c r="E86" s="23"/>
      <c r="F86" s="23"/>
      <c r="G86" s="23"/>
      <c r="H86" s="23"/>
      <c r="I86" s="23"/>
      <c r="J86" s="23"/>
      <c r="K86" s="23"/>
      <c r="L86" s="23"/>
      <c r="M86" s="23"/>
      <c r="N86" s="4"/>
      <c r="O86" s="23"/>
      <c r="P86" s="23"/>
      <c r="Q86" s="23"/>
      <c r="R86" s="4"/>
      <c r="S86" s="4"/>
      <c r="T86" s="4"/>
    </row>
    <row r="87" spans="1:20" x14ac:dyDescent="0.25">
      <c r="A87" s="876"/>
      <c r="B87" s="4"/>
      <c r="C87" s="23"/>
      <c r="D87" s="23"/>
      <c r="E87" s="23"/>
      <c r="F87" s="23"/>
      <c r="G87" s="23"/>
      <c r="H87" s="23"/>
      <c r="I87" s="23"/>
      <c r="J87" s="23"/>
      <c r="K87" s="23"/>
      <c r="L87" s="23"/>
      <c r="M87" s="23"/>
      <c r="N87" s="4"/>
      <c r="O87" s="23"/>
      <c r="P87" s="23"/>
      <c r="Q87" s="23"/>
      <c r="R87" s="4"/>
      <c r="S87" s="4"/>
      <c r="T87" s="4"/>
    </row>
    <row r="88" spans="1:20" x14ac:dyDescent="0.25">
      <c r="A88" s="876"/>
      <c r="B88" s="4"/>
      <c r="C88" s="23"/>
      <c r="D88" s="23"/>
      <c r="E88" s="23"/>
      <c r="F88" s="23"/>
      <c r="G88" s="23"/>
      <c r="H88" s="23"/>
      <c r="I88" s="23"/>
      <c r="J88" s="23"/>
      <c r="K88" s="23"/>
      <c r="L88" s="23"/>
      <c r="M88" s="23"/>
      <c r="N88" s="4"/>
      <c r="O88" s="23"/>
      <c r="P88" s="23"/>
      <c r="Q88" s="23"/>
      <c r="R88" s="4"/>
      <c r="S88" s="4"/>
      <c r="T88" s="4"/>
    </row>
    <row r="89" spans="1:20" x14ac:dyDescent="0.25">
      <c r="A89" s="876"/>
      <c r="B89" s="4"/>
      <c r="C89" s="23"/>
      <c r="D89" s="23"/>
      <c r="E89" s="23"/>
      <c r="F89" s="23"/>
      <c r="G89" s="23"/>
      <c r="H89" s="23"/>
      <c r="I89" s="23"/>
      <c r="J89" s="23"/>
      <c r="K89" s="23"/>
      <c r="L89" s="23"/>
      <c r="M89" s="23"/>
      <c r="N89" s="4"/>
      <c r="O89" s="23"/>
      <c r="P89" s="23"/>
      <c r="Q89" s="23"/>
      <c r="R89" s="4"/>
      <c r="S89" s="4"/>
      <c r="T89" s="4"/>
    </row>
    <row r="90" spans="1:20" x14ac:dyDescent="0.25">
      <c r="A90" s="876"/>
      <c r="B90" s="4"/>
      <c r="C90" s="23"/>
      <c r="D90" s="23"/>
      <c r="E90" s="23"/>
      <c r="F90" s="23"/>
      <c r="G90" s="23"/>
      <c r="H90" s="23"/>
      <c r="I90" s="23"/>
      <c r="J90" s="23"/>
      <c r="K90" s="23"/>
      <c r="L90" s="23"/>
      <c r="M90" s="23"/>
      <c r="N90" s="4"/>
      <c r="O90" s="23"/>
      <c r="P90" s="23"/>
      <c r="Q90" s="23"/>
      <c r="R90" s="4"/>
      <c r="S90" s="4"/>
      <c r="T90" s="4"/>
    </row>
    <row r="91" spans="1:20" x14ac:dyDescent="0.25">
      <c r="A91" s="876"/>
      <c r="B91" s="4"/>
      <c r="C91" s="23"/>
      <c r="D91" s="23"/>
      <c r="E91" s="23"/>
      <c r="F91" s="23"/>
      <c r="G91" s="23"/>
      <c r="H91" s="23"/>
      <c r="I91" s="23"/>
      <c r="J91" s="23"/>
      <c r="K91" s="23"/>
      <c r="L91" s="23"/>
      <c r="M91" s="23"/>
      <c r="N91" s="4"/>
      <c r="O91" s="23"/>
      <c r="P91" s="23"/>
      <c r="Q91" s="23"/>
      <c r="R91" s="4"/>
      <c r="S91" s="4"/>
      <c r="T91" s="4"/>
    </row>
    <row r="92" spans="1:20" x14ac:dyDescent="0.25">
      <c r="A92" s="876"/>
      <c r="B92" s="4"/>
      <c r="C92" s="23"/>
      <c r="D92" s="23"/>
      <c r="E92" s="23"/>
      <c r="F92" s="23"/>
      <c r="G92" s="23"/>
      <c r="H92" s="23"/>
      <c r="I92" s="23"/>
      <c r="J92" s="23"/>
      <c r="K92" s="23"/>
      <c r="L92" s="23"/>
      <c r="M92" s="23"/>
      <c r="N92" s="4"/>
      <c r="O92" s="23"/>
      <c r="P92" s="23"/>
      <c r="Q92" s="23"/>
      <c r="R92" s="4"/>
      <c r="S92" s="4"/>
      <c r="T92" s="4"/>
    </row>
    <row r="93" spans="1:20" x14ac:dyDescent="0.25">
      <c r="A93" s="876"/>
      <c r="B93" s="4"/>
      <c r="C93" s="23"/>
      <c r="D93" s="23"/>
      <c r="E93" s="23"/>
      <c r="F93" s="23"/>
      <c r="G93" s="23"/>
      <c r="H93" s="23"/>
      <c r="I93" s="23"/>
      <c r="J93" s="23"/>
      <c r="K93" s="23"/>
      <c r="L93" s="23"/>
      <c r="M93" s="23"/>
      <c r="N93" s="4"/>
      <c r="O93" s="23"/>
      <c r="P93" s="23"/>
      <c r="Q93" s="23"/>
      <c r="R93" s="4"/>
      <c r="S93" s="4"/>
      <c r="T93" s="4"/>
    </row>
    <row r="94" spans="1:20" x14ac:dyDescent="0.25">
      <c r="A94" s="876"/>
      <c r="B94" s="4"/>
      <c r="C94" s="23"/>
      <c r="D94" s="23"/>
      <c r="E94" s="23"/>
      <c r="F94" s="23"/>
      <c r="G94" s="23"/>
      <c r="H94" s="23"/>
      <c r="I94" s="23"/>
      <c r="J94" s="23"/>
      <c r="K94" s="23"/>
      <c r="L94" s="23"/>
      <c r="M94" s="23"/>
      <c r="N94" s="4"/>
      <c r="O94" s="23"/>
      <c r="P94" s="23"/>
      <c r="Q94" s="23"/>
      <c r="R94" s="4"/>
      <c r="S94" s="4"/>
      <c r="T94" s="4"/>
    </row>
    <row r="95" spans="1:20" x14ac:dyDescent="0.25">
      <c r="A95" s="876"/>
      <c r="B95" s="4"/>
      <c r="C95" s="23"/>
      <c r="D95" s="23"/>
      <c r="E95" s="23"/>
      <c r="F95" s="23"/>
      <c r="G95" s="23"/>
      <c r="H95" s="23"/>
      <c r="I95" s="23"/>
      <c r="J95" s="23"/>
      <c r="K95" s="23"/>
      <c r="L95" s="23"/>
      <c r="M95" s="23"/>
      <c r="N95" s="4"/>
      <c r="O95" s="23"/>
      <c r="P95" s="23"/>
      <c r="Q95" s="23"/>
      <c r="R95" s="4"/>
      <c r="S95" s="4"/>
      <c r="T95" s="4"/>
    </row>
    <row r="96" spans="1:20" x14ac:dyDescent="0.25">
      <c r="A96" s="876"/>
      <c r="B96" s="4"/>
      <c r="C96" s="23"/>
      <c r="D96" s="23"/>
      <c r="E96" s="23"/>
      <c r="F96" s="23"/>
      <c r="G96" s="23"/>
      <c r="H96" s="23"/>
      <c r="I96" s="23"/>
      <c r="J96" s="23"/>
      <c r="K96" s="23"/>
      <c r="L96" s="23"/>
      <c r="M96" s="23"/>
      <c r="N96" s="4"/>
      <c r="O96" s="23"/>
      <c r="P96" s="23"/>
      <c r="Q96" s="23"/>
      <c r="R96" s="4"/>
      <c r="S96" s="4"/>
      <c r="T96" s="4"/>
    </row>
    <row r="97" spans="1:20" x14ac:dyDescent="0.25">
      <c r="A97" s="876"/>
      <c r="B97" s="4"/>
      <c r="C97" s="23"/>
      <c r="D97" s="23"/>
      <c r="E97" s="23"/>
      <c r="F97" s="23"/>
      <c r="G97" s="23"/>
      <c r="H97" s="23"/>
      <c r="I97" s="23"/>
      <c r="J97" s="23"/>
      <c r="K97" s="23"/>
      <c r="L97" s="23"/>
      <c r="M97" s="23"/>
      <c r="N97" s="4"/>
      <c r="O97" s="23"/>
      <c r="P97" s="23"/>
      <c r="Q97" s="23"/>
      <c r="R97" s="4"/>
      <c r="S97" s="4"/>
      <c r="T97" s="4"/>
    </row>
    <row r="98" spans="1:20" x14ac:dyDescent="0.25">
      <c r="A98" s="876"/>
      <c r="B98" s="4"/>
      <c r="C98" s="23"/>
      <c r="D98" s="23"/>
      <c r="E98" s="23"/>
      <c r="F98" s="23"/>
      <c r="G98" s="23"/>
      <c r="H98" s="23"/>
      <c r="I98" s="23"/>
      <c r="J98" s="23"/>
      <c r="K98" s="23"/>
      <c r="L98" s="23"/>
      <c r="M98" s="23"/>
      <c r="N98" s="4"/>
      <c r="O98" s="23"/>
      <c r="P98" s="23"/>
      <c r="Q98" s="23"/>
      <c r="R98" s="4"/>
      <c r="S98" s="4"/>
      <c r="T98" s="4"/>
    </row>
    <row r="99" spans="1:20" x14ac:dyDescent="0.25">
      <c r="A99" s="876"/>
      <c r="B99" s="4"/>
      <c r="C99" s="23"/>
      <c r="D99" s="23"/>
      <c r="E99" s="23"/>
      <c r="F99" s="23"/>
      <c r="G99" s="23"/>
      <c r="H99" s="23"/>
      <c r="I99" s="23"/>
      <c r="J99" s="23"/>
      <c r="K99" s="23"/>
      <c r="L99" s="23"/>
      <c r="M99" s="23"/>
      <c r="N99" s="4"/>
      <c r="O99" s="23"/>
      <c r="P99" s="23"/>
      <c r="Q99" s="23"/>
      <c r="R99" s="4"/>
      <c r="S99" s="4"/>
      <c r="T99" s="4"/>
    </row>
    <row r="100" spans="1:20" x14ac:dyDescent="0.25">
      <c r="A100" s="876"/>
      <c r="B100" s="4"/>
      <c r="C100" s="23"/>
      <c r="D100" s="23"/>
      <c r="E100" s="23"/>
      <c r="F100" s="23"/>
      <c r="G100" s="23"/>
      <c r="H100" s="23"/>
      <c r="I100" s="23"/>
      <c r="J100" s="23"/>
      <c r="K100" s="23"/>
      <c r="L100" s="23"/>
      <c r="M100" s="23"/>
      <c r="N100" s="4"/>
      <c r="O100" s="23"/>
      <c r="P100" s="23"/>
      <c r="Q100" s="23"/>
      <c r="R100" s="4"/>
      <c r="S100" s="4"/>
      <c r="T100" s="4"/>
    </row>
    <row r="101" spans="1:20" x14ac:dyDescent="0.25">
      <c r="A101" s="876"/>
      <c r="B101" s="4"/>
      <c r="C101" s="23"/>
      <c r="D101" s="23"/>
      <c r="E101" s="23"/>
      <c r="F101" s="23"/>
      <c r="G101" s="23"/>
      <c r="H101" s="23"/>
      <c r="I101" s="23"/>
      <c r="J101" s="23"/>
      <c r="K101" s="23"/>
      <c r="L101" s="23"/>
      <c r="M101" s="23"/>
      <c r="N101" s="4"/>
      <c r="O101" s="23"/>
      <c r="P101" s="23"/>
      <c r="Q101" s="23"/>
      <c r="R101" s="4"/>
      <c r="S101" s="4"/>
      <c r="T101" s="4"/>
    </row>
    <row r="102" spans="1:20" x14ac:dyDescent="0.25">
      <c r="A102" s="876"/>
      <c r="B102" s="4"/>
      <c r="C102" s="23"/>
      <c r="D102" s="23"/>
      <c r="E102" s="23"/>
      <c r="F102" s="23"/>
      <c r="G102" s="23"/>
      <c r="H102" s="23"/>
      <c r="I102" s="23"/>
      <c r="J102" s="23"/>
      <c r="K102" s="23"/>
      <c r="L102" s="23"/>
      <c r="M102" s="23"/>
      <c r="N102" s="4"/>
      <c r="O102" s="23"/>
      <c r="P102" s="23"/>
      <c r="Q102" s="23"/>
      <c r="R102" s="4"/>
      <c r="S102" s="4"/>
      <c r="T102" s="4"/>
    </row>
    <row r="103" spans="1:20" x14ac:dyDescent="0.25">
      <c r="A103" s="876"/>
      <c r="B103" s="4"/>
      <c r="C103" s="23"/>
      <c r="D103" s="23"/>
      <c r="E103" s="23"/>
      <c r="F103" s="23"/>
      <c r="G103" s="23"/>
      <c r="H103" s="23"/>
      <c r="I103" s="23"/>
      <c r="J103" s="23"/>
      <c r="K103" s="23"/>
      <c r="L103" s="23"/>
      <c r="M103" s="23"/>
      <c r="N103" s="4"/>
      <c r="O103" s="23"/>
      <c r="P103" s="23"/>
      <c r="Q103" s="23"/>
      <c r="R103" s="4"/>
      <c r="S103" s="4"/>
      <c r="T103" s="4"/>
    </row>
    <row r="104" spans="1:20" x14ac:dyDescent="0.25">
      <c r="A104" s="876"/>
      <c r="B104" s="4"/>
      <c r="C104" s="23"/>
      <c r="D104" s="23"/>
      <c r="E104" s="23"/>
      <c r="F104" s="23"/>
      <c r="G104" s="23"/>
      <c r="H104" s="23"/>
      <c r="I104" s="23"/>
      <c r="J104" s="23"/>
      <c r="K104" s="23"/>
      <c r="L104" s="23"/>
      <c r="M104" s="23"/>
      <c r="N104" s="4"/>
      <c r="O104" s="23"/>
      <c r="P104" s="23"/>
      <c r="Q104" s="23"/>
      <c r="R104" s="4"/>
      <c r="S104" s="4"/>
      <c r="T104" s="4"/>
    </row>
    <row r="105" spans="1:20" x14ac:dyDescent="0.25">
      <c r="A105" s="876"/>
      <c r="B105" s="4"/>
      <c r="C105" s="23"/>
      <c r="D105" s="23"/>
      <c r="E105" s="23"/>
      <c r="F105" s="23"/>
      <c r="G105" s="23"/>
      <c r="H105" s="23"/>
      <c r="I105" s="23"/>
      <c r="J105" s="23"/>
      <c r="K105" s="23"/>
      <c r="L105" s="23"/>
      <c r="M105" s="23"/>
      <c r="N105" s="4"/>
      <c r="O105" s="23"/>
      <c r="P105" s="23"/>
      <c r="Q105" s="23"/>
      <c r="R105" s="4"/>
      <c r="S105" s="4"/>
      <c r="T105" s="4"/>
    </row>
    <row r="106" spans="1:20" x14ac:dyDescent="0.25">
      <c r="A106" s="876"/>
      <c r="B106" s="4"/>
      <c r="C106" s="23"/>
      <c r="D106" s="23"/>
      <c r="E106" s="23"/>
      <c r="F106" s="23"/>
      <c r="G106" s="23"/>
      <c r="H106" s="23"/>
      <c r="I106" s="23"/>
      <c r="J106" s="23"/>
      <c r="K106" s="23"/>
      <c r="L106" s="23"/>
      <c r="M106" s="23"/>
      <c r="N106" s="4"/>
      <c r="O106" s="23"/>
      <c r="P106" s="23"/>
      <c r="Q106" s="23"/>
      <c r="R106" s="4"/>
      <c r="S106" s="4"/>
      <c r="T106" s="4"/>
    </row>
    <row r="107" spans="1:20" x14ac:dyDescent="0.25">
      <c r="A107" s="876"/>
      <c r="B107" s="4"/>
      <c r="C107" s="23"/>
      <c r="D107" s="23"/>
      <c r="E107" s="23"/>
      <c r="F107" s="23"/>
      <c r="G107" s="23"/>
      <c r="H107" s="23"/>
      <c r="I107" s="23"/>
      <c r="J107" s="23"/>
      <c r="K107" s="23"/>
      <c r="L107" s="23"/>
      <c r="M107" s="23"/>
      <c r="N107" s="4"/>
      <c r="O107" s="23"/>
      <c r="P107" s="23"/>
      <c r="Q107" s="23"/>
      <c r="R107" s="4"/>
      <c r="S107" s="4"/>
      <c r="T107" s="4"/>
    </row>
    <row r="108" spans="1:20" x14ac:dyDescent="0.25">
      <c r="A108" s="876"/>
      <c r="B108" s="4"/>
      <c r="C108" s="23"/>
      <c r="D108" s="23"/>
      <c r="E108" s="23"/>
      <c r="F108" s="23"/>
      <c r="G108" s="23"/>
      <c r="H108" s="23"/>
      <c r="I108" s="23"/>
      <c r="J108" s="23"/>
      <c r="K108" s="23"/>
      <c r="L108" s="23"/>
      <c r="M108" s="23"/>
      <c r="N108" s="4"/>
      <c r="O108" s="23"/>
      <c r="P108" s="23"/>
      <c r="Q108" s="23"/>
      <c r="R108" s="4"/>
      <c r="S108" s="4"/>
      <c r="T108" s="4"/>
    </row>
    <row r="109" spans="1:20" x14ac:dyDescent="0.25">
      <c r="A109" s="876"/>
      <c r="B109" s="4"/>
      <c r="C109" s="23"/>
      <c r="D109" s="23"/>
      <c r="E109" s="23"/>
      <c r="F109" s="23"/>
      <c r="G109" s="23"/>
      <c r="H109" s="23"/>
      <c r="I109" s="23"/>
      <c r="J109" s="23"/>
      <c r="K109" s="23"/>
      <c r="L109" s="23"/>
      <c r="M109" s="23"/>
      <c r="N109" s="4"/>
      <c r="O109" s="23"/>
      <c r="P109" s="23"/>
      <c r="Q109" s="23"/>
      <c r="R109" s="4"/>
      <c r="S109" s="4"/>
      <c r="T109" s="4"/>
    </row>
    <row r="110" spans="1:20" x14ac:dyDescent="0.25">
      <c r="A110" s="876"/>
      <c r="B110" s="4"/>
      <c r="C110" s="23"/>
      <c r="D110" s="23"/>
      <c r="E110" s="23"/>
      <c r="F110" s="23"/>
      <c r="G110" s="23"/>
      <c r="H110" s="23"/>
      <c r="I110" s="23"/>
      <c r="J110" s="23"/>
      <c r="K110" s="23"/>
      <c r="L110" s="23"/>
      <c r="M110" s="23"/>
      <c r="N110" s="4"/>
      <c r="O110" s="23"/>
      <c r="P110" s="23"/>
      <c r="Q110" s="23"/>
      <c r="R110" s="4"/>
      <c r="S110" s="4"/>
      <c r="T110" s="4"/>
    </row>
    <row r="111" spans="1:20" x14ac:dyDescent="0.25">
      <c r="A111" s="876"/>
      <c r="B111" s="4"/>
      <c r="C111" s="23"/>
      <c r="D111" s="23"/>
      <c r="E111" s="23"/>
      <c r="F111" s="23"/>
      <c r="G111" s="23"/>
      <c r="H111" s="23"/>
      <c r="I111" s="23"/>
      <c r="J111" s="23"/>
      <c r="K111" s="23"/>
      <c r="L111" s="23"/>
      <c r="M111" s="23"/>
      <c r="N111" s="4"/>
      <c r="O111" s="23"/>
      <c r="P111" s="23"/>
      <c r="Q111" s="23"/>
      <c r="R111" s="4"/>
      <c r="S111" s="4"/>
      <c r="T111" s="4"/>
    </row>
    <row r="112" spans="1:20" x14ac:dyDescent="0.25">
      <c r="A112" s="876"/>
      <c r="B112" s="4"/>
      <c r="C112" s="23"/>
      <c r="D112" s="23"/>
      <c r="E112" s="23"/>
      <c r="F112" s="23"/>
      <c r="G112" s="23"/>
      <c r="H112" s="23"/>
      <c r="I112" s="23"/>
      <c r="J112" s="23"/>
      <c r="K112" s="23"/>
      <c r="L112" s="23"/>
      <c r="M112" s="23"/>
      <c r="N112" s="4"/>
      <c r="O112" s="23"/>
      <c r="P112" s="23"/>
      <c r="Q112" s="23"/>
      <c r="R112" s="4"/>
      <c r="S112" s="4"/>
      <c r="T112" s="4"/>
    </row>
    <row r="113" spans="1:20" x14ac:dyDescent="0.25">
      <c r="A113" s="876"/>
      <c r="B113" s="4"/>
      <c r="C113" s="23"/>
      <c r="D113" s="23"/>
      <c r="E113" s="23"/>
      <c r="F113" s="23"/>
      <c r="G113" s="23"/>
      <c r="H113" s="23"/>
      <c r="I113" s="23"/>
      <c r="J113" s="23"/>
      <c r="K113" s="23"/>
      <c r="L113" s="23"/>
      <c r="M113" s="23"/>
      <c r="N113" s="4"/>
      <c r="O113" s="23"/>
      <c r="P113" s="23"/>
      <c r="Q113" s="23"/>
      <c r="R113" s="4"/>
      <c r="S113" s="4"/>
      <c r="T113" s="4"/>
    </row>
    <row r="114" spans="1:20" x14ac:dyDescent="0.25">
      <c r="A114" s="876"/>
      <c r="B114" s="4"/>
      <c r="C114" s="23"/>
      <c r="D114" s="23"/>
      <c r="E114" s="23"/>
      <c r="F114" s="23"/>
      <c r="G114" s="23"/>
      <c r="H114" s="23"/>
      <c r="I114" s="23"/>
      <c r="J114" s="23"/>
      <c r="K114" s="23"/>
      <c r="L114" s="23"/>
      <c r="M114" s="23"/>
      <c r="N114" s="4"/>
      <c r="O114" s="23"/>
      <c r="P114" s="23"/>
      <c r="Q114" s="23"/>
      <c r="R114" s="4"/>
      <c r="S114" s="4"/>
      <c r="T114" s="4"/>
    </row>
    <row r="115" spans="1:20" x14ac:dyDescent="0.25">
      <c r="A115" s="876"/>
      <c r="B115" s="4"/>
      <c r="C115" s="23"/>
      <c r="D115" s="23"/>
      <c r="E115" s="23"/>
      <c r="F115" s="23"/>
      <c r="G115" s="23"/>
      <c r="H115" s="23"/>
      <c r="I115" s="23"/>
      <c r="J115" s="23"/>
      <c r="K115" s="23"/>
      <c r="L115" s="23"/>
      <c r="M115" s="23"/>
      <c r="N115" s="4"/>
      <c r="O115" s="23"/>
      <c r="P115" s="23"/>
      <c r="Q115" s="23"/>
      <c r="R115" s="4"/>
      <c r="S115" s="4"/>
      <c r="T115" s="4"/>
    </row>
    <row r="116" spans="1:20" x14ac:dyDescent="0.25">
      <c r="A116" s="876"/>
      <c r="B116" s="4"/>
      <c r="C116" s="23"/>
      <c r="D116" s="23"/>
      <c r="E116" s="23"/>
      <c r="F116" s="23"/>
      <c r="G116" s="23"/>
      <c r="H116" s="23"/>
      <c r="I116" s="23"/>
      <c r="J116" s="23"/>
      <c r="K116" s="23"/>
      <c r="L116" s="23"/>
      <c r="M116" s="23"/>
      <c r="N116" s="4"/>
      <c r="O116" s="23"/>
      <c r="P116" s="23"/>
      <c r="Q116" s="23"/>
      <c r="R116" s="4"/>
      <c r="S116" s="4"/>
      <c r="T116" s="4"/>
    </row>
    <row r="117" spans="1:20" x14ac:dyDescent="0.25">
      <c r="A117" s="876"/>
      <c r="B117" s="4"/>
      <c r="C117" s="23"/>
      <c r="D117" s="23"/>
      <c r="E117" s="23"/>
      <c r="F117" s="23"/>
      <c r="G117" s="23"/>
      <c r="H117" s="23"/>
      <c r="I117" s="23"/>
      <c r="J117" s="23"/>
      <c r="K117" s="23"/>
      <c r="L117" s="23"/>
      <c r="M117" s="23"/>
      <c r="N117" s="4"/>
      <c r="O117" s="23"/>
      <c r="P117" s="23"/>
      <c r="Q117" s="23"/>
      <c r="R117" s="4"/>
      <c r="S117" s="4"/>
      <c r="T117" s="4"/>
    </row>
    <row r="118" spans="1:20" x14ac:dyDescent="0.25">
      <c r="A118" s="876"/>
      <c r="B118" s="4"/>
      <c r="C118" s="23"/>
      <c r="D118" s="23"/>
      <c r="E118" s="23"/>
      <c r="F118" s="23"/>
      <c r="G118" s="23"/>
      <c r="H118" s="23"/>
      <c r="I118" s="23"/>
      <c r="J118" s="23"/>
      <c r="K118" s="23"/>
      <c r="L118" s="23"/>
      <c r="M118" s="23"/>
      <c r="N118" s="4"/>
      <c r="O118" s="23"/>
      <c r="P118" s="23"/>
      <c r="Q118" s="23"/>
      <c r="R118" s="4"/>
      <c r="S118" s="4"/>
      <c r="T118" s="4"/>
    </row>
    <row r="119" spans="1:20" x14ac:dyDescent="0.25">
      <c r="C119" s="114"/>
    </row>
    <row r="120" spans="1:20" x14ac:dyDescent="0.25">
      <c r="C120" s="114"/>
    </row>
    <row r="121" spans="1:20" x14ac:dyDescent="0.25">
      <c r="C121" s="114"/>
    </row>
    <row r="122" spans="1:20" x14ac:dyDescent="0.25">
      <c r="C122" s="114"/>
    </row>
    <row r="123" spans="1:20" x14ac:dyDescent="0.25">
      <c r="C123" s="114"/>
    </row>
    <row r="124" spans="1:20" x14ac:dyDescent="0.25">
      <c r="C124" s="114"/>
    </row>
    <row r="125" spans="1:20" x14ac:dyDescent="0.25">
      <c r="C125" s="114"/>
    </row>
    <row r="126" spans="1:20" x14ac:dyDescent="0.25">
      <c r="C126" s="114"/>
    </row>
    <row r="127" spans="1:20" x14ac:dyDescent="0.25">
      <c r="C127" s="114"/>
    </row>
    <row r="128" spans="1:20" x14ac:dyDescent="0.25">
      <c r="C128" s="114"/>
    </row>
    <row r="129" spans="3:3" x14ac:dyDescent="0.25">
      <c r="C129" s="114"/>
    </row>
    <row r="130" spans="3:3" x14ac:dyDescent="0.25">
      <c r="C130" s="114"/>
    </row>
    <row r="131" spans="3:3" x14ac:dyDescent="0.25">
      <c r="C131" s="114"/>
    </row>
    <row r="132" spans="3:3" x14ac:dyDescent="0.25">
      <c r="C132" s="114"/>
    </row>
    <row r="133" spans="3:3" x14ac:dyDescent="0.25">
      <c r="C133" s="114"/>
    </row>
    <row r="134" spans="3:3" x14ac:dyDescent="0.25">
      <c r="C134" s="114"/>
    </row>
    <row r="135" spans="3:3" x14ac:dyDescent="0.25">
      <c r="C135" s="114"/>
    </row>
    <row r="136" spans="3:3" x14ac:dyDescent="0.25">
      <c r="C136" s="114"/>
    </row>
    <row r="137" spans="3:3" x14ac:dyDescent="0.25">
      <c r="C137" s="114"/>
    </row>
    <row r="138" spans="3:3" x14ac:dyDescent="0.25">
      <c r="C138" s="114"/>
    </row>
    <row r="139" spans="3:3" x14ac:dyDescent="0.25">
      <c r="C139" s="114"/>
    </row>
    <row r="140" spans="3:3" x14ac:dyDescent="0.25">
      <c r="C140" s="114"/>
    </row>
    <row r="141" spans="3:3" x14ac:dyDescent="0.25">
      <c r="C141" s="114"/>
    </row>
    <row r="142" spans="3:3" x14ac:dyDescent="0.25">
      <c r="C142" s="114"/>
    </row>
    <row r="143" spans="3:3" x14ac:dyDescent="0.25">
      <c r="C143" s="114"/>
    </row>
    <row r="144" spans="3:3" x14ac:dyDescent="0.25">
      <c r="C144" s="114"/>
    </row>
    <row r="145" spans="3:3" x14ac:dyDescent="0.25">
      <c r="C145" s="114"/>
    </row>
    <row r="146" spans="3:3" x14ac:dyDescent="0.25">
      <c r="C146" s="114"/>
    </row>
    <row r="147" spans="3:3" x14ac:dyDescent="0.25">
      <c r="C147" s="114"/>
    </row>
    <row r="148" spans="3:3" x14ac:dyDescent="0.25">
      <c r="C148" s="114"/>
    </row>
    <row r="149" spans="3:3" x14ac:dyDescent="0.25">
      <c r="C149" s="114"/>
    </row>
    <row r="150" spans="3:3" x14ac:dyDescent="0.25">
      <c r="C150" s="114"/>
    </row>
    <row r="151" spans="3:3" x14ac:dyDescent="0.25">
      <c r="C151" s="114"/>
    </row>
    <row r="152" spans="3:3" x14ac:dyDescent="0.25">
      <c r="C152" s="114"/>
    </row>
    <row r="153" spans="3:3" x14ac:dyDescent="0.25">
      <c r="C153" s="114"/>
    </row>
    <row r="154" spans="3:3" x14ac:dyDescent="0.25">
      <c r="C154" s="114"/>
    </row>
    <row r="155" spans="3:3" x14ac:dyDescent="0.25">
      <c r="C155" s="114"/>
    </row>
    <row r="156" spans="3:3" x14ac:dyDescent="0.25">
      <c r="C156" s="114"/>
    </row>
    <row r="157" spans="3:3" x14ac:dyDescent="0.25">
      <c r="C157" s="114"/>
    </row>
    <row r="158" spans="3:3" x14ac:dyDescent="0.25">
      <c r="C158" s="114"/>
    </row>
    <row r="159" spans="3:3" x14ac:dyDescent="0.25">
      <c r="C159" s="114"/>
    </row>
    <row r="160" spans="3:3" x14ac:dyDescent="0.25">
      <c r="C160" s="114"/>
    </row>
    <row r="161" spans="3:3" x14ac:dyDescent="0.25">
      <c r="C161" s="114"/>
    </row>
    <row r="162" spans="3:3" x14ac:dyDescent="0.25">
      <c r="C162" s="114"/>
    </row>
    <row r="163" spans="3:3" x14ac:dyDescent="0.25">
      <c r="C163" s="114"/>
    </row>
    <row r="164" spans="3:3" x14ac:dyDescent="0.25">
      <c r="C164" s="114"/>
    </row>
    <row r="165" spans="3:3" x14ac:dyDescent="0.25">
      <c r="C165" s="114"/>
    </row>
    <row r="166" spans="3:3" x14ac:dyDescent="0.25">
      <c r="C166" s="114"/>
    </row>
    <row r="167" spans="3:3" x14ac:dyDescent="0.25">
      <c r="C167" s="114"/>
    </row>
    <row r="168" spans="3:3" x14ac:dyDescent="0.25">
      <c r="C168" s="114"/>
    </row>
    <row r="169" spans="3:3" x14ac:dyDescent="0.25">
      <c r="C169" s="114"/>
    </row>
  </sheetData>
  <phoneticPr fontId="0" type="noConversion"/>
  <hyperlinks>
    <hyperlink ref="A1" location="'Working Budget with funding det'!A1" display="Main " xr:uid="{00000000-0004-0000-1B00-000000000000}"/>
    <hyperlink ref="B1" location="'Table of Contents'!A1" display="TOC" xr:uid="{00000000-0004-0000-1B00-000001000000}"/>
  </hyperlinks>
  <pageMargins left="0.75" right="0.75" top="1" bottom="1" header="0.5" footer="0.5"/>
  <pageSetup scale="91" fitToHeight="2" orientation="landscape" horizontalDpi="300" verticalDpi="300" r:id="rId1"/>
  <headerFooter alignWithMargins="0">
    <oddFooter>&amp;L&amp;D     &amp;T&amp;C&amp;F&amp;R&amp;A</oddFooter>
  </headerFooter>
  <rowBreaks count="1" manualBreakCount="1">
    <brk id="36" max="16"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pageSetUpPr fitToPage="1"/>
  </sheetPr>
  <dimension ref="A1:T180"/>
  <sheetViews>
    <sheetView workbookViewId="0">
      <selection activeCell="P1" sqref="P1:P1048576"/>
    </sheetView>
  </sheetViews>
  <sheetFormatPr defaultRowHeight="13.2" x14ac:dyDescent="0.25"/>
  <cols>
    <col min="1" max="1" width="12" style="885" bestFit="1" customWidth="1"/>
    <col min="2" max="2" width="36.6640625" customWidth="1"/>
    <col min="3" max="3" width="14.44140625" style="1" hidden="1" customWidth="1"/>
    <col min="4" max="10" width="14.44140625" style="114" hidden="1" customWidth="1"/>
    <col min="11" max="13" width="14.44140625" style="114" customWidth="1"/>
    <col min="14" max="14" width="14.44140625" customWidth="1"/>
    <col min="15" max="16" width="14.44140625" style="1" customWidth="1"/>
    <col min="17" max="19" width="14.44140625" customWidth="1"/>
    <col min="20" max="20" width="14.6640625" style="2" customWidth="1"/>
  </cols>
  <sheetData>
    <row r="1" spans="1:19" x14ac:dyDescent="0.25">
      <c r="A1" s="874" t="s">
        <v>1021</v>
      </c>
      <c r="B1" s="371" t="s">
        <v>1348</v>
      </c>
      <c r="P1"/>
    </row>
    <row r="2" spans="1:19" ht="13.8" x14ac:dyDescent="0.25">
      <c r="A2" s="875" t="s">
        <v>261</v>
      </c>
      <c r="B2" s="45"/>
      <c r="E2" s="141"/>
      <c r="I2" s="141" t="s">
        <v>257</v>
      </c>
      <c r="J2" s="141"/>
      <c r="K2" s="141"/>
      <c r="L2" s="141"/>
      <c r="M2" s="141"/>
      <c r="N2" s="61" t="s">
        <v>366</v>
      </c>
      <c r="P2" s="46" t="s">
        <v>487</v>
      </c>
    </row>
    <row r="3" spans="1:19" ht="13.8" thickBot="1" x14ac:dyDescent="0.3">
      <c r="A3" s="876"/>
      <c r="B3" s="4"/>
      <c r="C3" s="23"/>
      <c r="D3" s="23"/>
      <c r="E3" s="23"/>
      <c r="F3" s="23"/>
      <c r="G3" s="23"/>
      <c r="H3" s="23"/>
      <c r="I3" s="23"/>
      <c r="J3" s="23"/>
      <c r="K3" s="23"/>
      <c r="L3" s="23"/>
      <c r="M3" s="23"/>
      <c r="N3" s="4"/>
      <c r="O3" s="23"/>
      <c r="P3" s="4"/>
      <c r="S3" s="4"/>
    </row>
    <row r="4" spans="1:19" ht="13.8" thickTop="1" x14ac:dyDescent="0.25">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t="s">
        <v>910</v>
      </c>
    </row>
    <row r="5" spans="1:19" x14ac:dyDescent="0.25">
      <c r="A5" s="878"/>
      <c r="B5" s="209"/>
      <c r="C5" s="127"/>
      <c r="D5" s="87"/>
      <c r="E5" s="113"/>
      <c r="F5" s="87"/>
      <c r="G5" s="87"/>
      <c r="H5" s="113"/>
      <c r="I5" s="290"/>
      <c r="J5" s="290"/>
      <c r="K5" s="290"/>
      <c r="L5" s="290"/>
      <c r="M5" s="290"/>
      <c r="N5" s="113" t="s">
        <v>515</v>
      </c>
      <c r="O5" s="88" t="s">
        <v>7</v>
      </c>
      <c r="P5" s="203" t="s">
        <v>782</v>
      </c>
    </row>
    <row r="6" spans="1:19" x14ac:dyDescent="0.25">
      <c r="A6" s="878"/>
      <c r="B6" s="209"/>
      <c r="C6" s="127"/>
      <c r="D6" s="127"/>
      <c r="E6" s="127"/>
      <c r="F6" s="127"/>
      <c r="G6" s="127"/>
      <c r="H6" s="127"/>
      <c r="I6" s="88"/>
      <c r="J6" s="88"/>
      <c r="K6" s="88"/>
      <c r="L6" s="88"/>
      <c r="M6" s="88"/>
      <c r="N6" s="127"/>
      <c r="O6" s="88" t="s">
        <v>8</v>
      </c>
      <c r="P6" s="47" t="s">
        <v>543</v>
      </c>
    </row>
    <row r="7" spans="1:19"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44561</v>
      </c>
      <c r="O7" s="9" t="s">
        <v>9</v>
      </c>
      <c r="P7" s="9" t="s">
        <v>546</v>
      </c>
    </row>
    <row r="8" spans="1:19" ht="13.8" thickTop="1" x14ac:dyDescent="0.25">
      <c r="A8" s="908"/>
      <c r="B8" s="210"/>
      <c r="C8" s="132"/>
      <c r="D8" s="18"/>
      <c r="E8" s="18"/>
      <c r="F8" s="18"/>
      <c r="G8" s="18"/>
      <c r="H8" s="18"/>
      <c r="I8" s="18"/>
      <c r="J8" s="18"/>
      <c r="K8" s="19"/>
      <c r="L8" s="19"/>
      <c r="M8" s="19"/>
      <c r="N8" s="18"/>
      <c r="O8" s="19"/>
      <c r="P8" s="19"/>
    </row>
    <row r="9" spans="1:19" ht="13.8" thickBot="1" x14ac:dyDescent="0.3">
      <c r="A9" s="881">
        <v>5380</v>
      </c>
      <c r="B9" s="63" t="s">
        <v>472</v>
      </c>
      <c r="C9" s="131">
        <v>2750</v>
      </c>
      <c r="D9" s="15">
        <v>2750</v>
      </c>
      <c r="E9" s="15">
        <v>2750</v>
      </c>
      <c r="F9" s="15">
        <v>2750</v>
      </c>
      <c r="G9" s="15">
        <v>2750</v>
      </c>
      <c r="H9" s="15">
        <v>2750</v>
      </c>
      <c r="I9" s="15">
        <v>2750</v>
      </c>
      <c r="J9" s="15">
        <v>2750</v>
      </c>
      <c r="K9" s="16">
        <v>2750</v>
      </c>
      <c r="L9" s="15">
        <v>2750</v>
      </c>
      <c r="M9" s="16">
        <v>2750</v>
      </c>
      <c r="N9" s="15"/>
      <c r="O9" s="16">
        <v>2750</v>
      </c>
      <c r="P9" s="16"/>
    </row>
    <row r="10" spans="1:19" x14ac:dyDescent="0.25">
      <c r="A10" s="881"/>
      <c r="B10" s="64" t="s">
        <v>449</v>
      </c>
      <c r="C10" s="132">
        <f t="shared" ref="C10:P10" si="0">SUM(C9:C9)</f>
        <v>2750</v>
      </c>
      <c r="D10" s="18">
        <f t="shared" si="0"/>
        <v>2750</v>
      </c>
      <c r="E10" s="18">
        <f t="shared" si="0"/>
        <v>2750</v>
      </c>
      <c r="F10" s="18">
        <f t="shared" si="0"/>
        <v>2750</v>
      </c>
      <c r="G10" s="18">
        <f t="shared" si="0"/>
        <v>2750</v>
      </c>
      <c r="H10" s="18">
        <f t="shared" si="0"/>
        <v>2750</v>
      </c>
      <c r="I10" s="18">
        <f t="shared" si="0"/>
        <v>2750</v>
      </c>
      <c r="J10" s="18">
        <f t="shared" ref="J10" si="1">SUM(J9:J9)</f>
        <v>2750</v>
      </c>
      <c r="K10" s="19">
        <f t="shared" ref="K10:M10" si="2">SUM(K9:K9)</f>
        <v>2750</v>
      </c>
      <c r="L10" s="18">
        <f t="shared" si="2"/>
        <v>2750</v>
      </c>
      <c r="M10" s="19">
        <f t="shared" si="2"/>
        <v>2750</v>
      </c>
      <c r="N10" s="18">
        <f t="shared" si="0"/>
        <v>0</v>
      </c>
      <c r="O10" s="19">
        <f t="shared" si="0"/>
        <v>2750</v>
      </c>
      <c r="P10" s="19">
        <f t="shared" si="0"/>
        <v>0</v>
      </c>
    </row>
    <row r="11" spans="1:19" x14ac:dyDescent="0.25">
      <c r="A11" s="881"/>
      <c r="B11" s="63"/>
      <c r="C11" s="130"/>
      <c r="D11" s="13"/>
      <c r="E11" s="13"/>
      <c r="F11" s="13"/>
      <c r="G11" s="13"/>
      <c r="H11" s="13"/>
      <c r="I11" s="13"/>
      <c r="J11" s="13"/>
      <c r="K11" s="14"/>
      <c r="L11" s="13"/>
      <c r="M11" s="14"/>
      <c r="N11" s="13"/>
      <c r="O11" s="14"/>
      <c r="P11" s="14"/>
    </row>
    <row r="12" spans="1:19" ht="13.8" thickBot="1" x14ac:dyDescent="0.3">
      <c r="A12" s="882"/>
      <c r="B12" s="723" t="s">
        <v>456</v>
      </c>
      <c r="C12" s="714">
        <f t="shared" ref="C12:O12" si="3">+C10</f>
        <v>2750</v>
      </c>
      <c r="D12" s="21">
        <f t="shared" si="3"/>
        <v>2750</v>
      </c>
      <c r="E12" s="21">
        <f>+E10</f>
        <v>2750</v>
      </c>
      <c r="F12" s="21">
        <f>+F10</f>
        <v>2750</v>
      </c>
      <c r="G12" s="21">
        <f>+G10</f>
        <v>2750</v>
      </c>
      <c r="H12" s="21">
        <f>+H10</f>
        <v>2750</v>
      </c>
      <c r="I12" s="21">
        <f t="shared" si="3"/>
        <v>2750</v>
      </c>
      <c r="J12" s="21">
        <f t="shared" ref="J12" si="4">+J10</f>
        <v>2750</v>
      </c>
      <c r="K12" s="22">
        <f t="shared" ref="K12:M12" si="5">+K10</f>
        <v>2750</v>
      </c>
      <c r="L12" s="21">
        <f t="shared" si="5"/>
        <v>2750</v>
      </c>
      <c r="M12" s="22">
        <f t="shared" si="5"/>
        <v>2750</v>
      </c>
      <c r="N12" s="21">
        <f t="shared" si="3"/>
        <v>0</v>
      </c>
      <c r="O12" s="22">
        <f t="shared" si="3"/>
        <v>2750</v>
      </c>
      <c r="P12" s="22">
        <v>2750</v>
      </c>
    </row>
    <row r="13" spans="1:19" ht="13.8" thickTop="1" x14ac:dyDescent="0.25">
      <c r="A13" s="876"/>
      <c r="B13" s="724"/>
      <c r="C13" s="23"/>
      <c r="D13" s="23"/>
      <c r="E13" s="23"/>
      <c r="F13" s="23"/>
      <c r="G13" s="23"/>
      <c r="H13" s="23"/>
      <c r="I13" s="23"/>
      <c r="J13" s="23"/>
      <c r="K13" s="23"/>
      <c r="L13" s="23"/>
      <c r="M13" s="23"/>
      <c r="N13" s="27"/>
      <c r="O13" s="23"/>
      <c r="P13" s="23"/>
      <c r="Q13" s="27"/>
      <c r="R13" s="27"/>
      <c r="S13" s="27"/>
    </row>
    <row r="14" spans="1:19" x14ac:dyDescent="0.25">
      <c r="A14" s="57">
        <v>42353</v>
      </c>
      <c r="B14" s="724" t="s">
        <v>952</v>
      </c>
      <c r="C14" s="23"/>
      <c r="D14" s="23"/>
      <c r="E14" s="23"/>
      <c r="F14" s="23"/>
      <c r="G14" s="23"/>
      <c r="H14" s="23"/>
      <c r="I14" s="23"/>
      <c r="J14" s="23"/>
      <c r="K14" s="23"/>
      <c r="L14" s="23"/>
      <c r="M14" s="23"/>
      <c r="N14" s="27"/>
      <c r="O14" s="23"/>
      <c r="P14" s="27"/>
      <c r="Q14" s="27"/>
      <c r="R14" s="27"/>
      <c r="S14" s="27"/>
    </row>
    <row r="15" spans="1:19" x14ac:dyDescent="0.25">
      <c r="A15" s="876"/>
      <c r="B15" s="724" t="s">
        <v>953</v>
      </c>
      <c r="C15" s="23"/>
      <c r="D15" s="23"/>
      <c r="E15" s="23"/>
      <c r="F15" s="23"/>
      <c r="G15" s="23"/>
      <c r="H15" s="23"/>
      <c r="I15" s="23"/>
      <c r="J15" s="23"/>
      <c r="K15" s="23"/>
      <c r="L15" s="23"/>
      <c r="M15" s="23"/>
      <c r="N15" s="27"/>
      <c r="O15" s="23"/>
      <c r="P15" s="23"/>
      <c r="Q15" s="27"/>
      <c r="R15" s="27"/>
      <c r="S15" s="27"/>
    </row>
    <row r="16" spans="1:19" ht="13.8" thickBot="1" x14ac:dyDescent="0.3">
      <c r="A16" s="876"/>
      <c r="B16" s="724"/>
      <c r="C16" s="23"/>
      <c r="D16" s="23"/>
      <c r="E16" s="23"/>
      <c r="F16" s="23"/>
      <c r="G16" s="23"/>
      <c r="H16" s="23"/>
      <c r="I16" s="23"/>
      <c r="J16" s="23"/>
      <c r="K16" s="23"/>
      <c r="L16" s="23"/>
      <c r="M16" s="23"/>
      <c r="N16" s="27"/>
      <c r="O16" s="23"/>
      <c r="P16" s="23"/>
      <c r="Q16" s="27"/>
      <c r="R16" s="27"/>
      <c r="S16" s="27"/>
    </row>
    <row r="17" spans="1:19" ht="13.8" thickTop="1" x14ac:dyDescent="0.25">
      <c r="A17" s="893"/>
      <c r="B17" s="725"/>
      <c r="C17" s="715" t="s">
        <v>127</v>
      </c>
      <c r="D17" s="454" t="s">
        <v>127</v>
      </c>
      <c r="E17" s="454" t="s">
        <v>127</v>
      </c>
      <c r="K17" s="455" t="s">
        <v>547</v>
      </c>
      <c r="L17" s="456" t="s">
        <v>9</v>
      </c>
      <c r="M17" s="457" t="s">
        <v>1073</v>
      </c>
      <c r="N17" s="456" t="s">
        <v>686</v>
      </c>
      <c r="O17" s="458"/>
      <c r="P17" s="457"/>
      <c r="Q17" s="27"/>
      <c r="R17" s="27"/>
      <c r="S17" s="27"/>
    </row>
    <row r="18" spans="1:19" ht="13.8" thickBot="1" x14ac:dyDescent="0.3">
      <c r="A18" s="894" t="s">
        <v>128</v>
      </c>
      <c r="B18" s="459"/>
      <c r="C18" s="508" t="s">
        <v>347</v>
      </c>
      <c r="D18" s="460" t="s">
        <v>722</v>
      </c>
      <c r="E18" s="461" t="s">
        <v>737</v>
      </c>
      <c r="K18" s="462" t="s">
        <v>909</v>
      </c>
      <c r="L18" s="462" t="s">
        <v>910</v>
      </c>
      <c r="M18" s="461" t="s">
        <v>1075</v>
      </c>
      <c r="N18" s="463" t="s">
        <v>1075</v>
      </c>
      <c r="O18" s="464" t="s">
        <v>1074</v>
      </c>
      <c r="P18" s="462"/>
      <c r="Q18" s="27"/>
      <c r="R18" s="27"/>
      <c r="S18" s="27"/>
    </row>
    <row r="19" spans="1:19" ht="13.8" thickTop="1" x14ac:dyDescent="0.25">
      <c r="A19" s="910"/>
      <c r="B19" s="480"/>
      <c r="C19" s="468"/>
      <c r="D19" s="468"/>
      <c r="E19" s="468"/>
      <c r="K19" s="499"/>
      <c r="L19" s="466"/>
      <c r="M19" s="490"/>
      <c r="N19" s="488"/>
      <c r="O19" s="470"/>
      <c r="P19" s="471"/>
      <c r="Q19" s="27"/>
      <c r="R19" s="27"/>
      <c r="S19" s="27"/>
    </row>
    <row r="20" spans="1:19" ht="13.8" thickBot="1" x14ac:dyDescent="0.3">
      <c r="A20" s="907">
        <v>5380</v>
      </c>
      <c r="B20" s="472" t="s">
        <v>472</v>
      </c>
      <c r="C20" s="474">
        <v>2750</v>
      </c>
      <c r="D20" s="474">
        <v>2750</v>
      </c>
      <c r="E20" s="474">
        <v>2750</v>
      </c>
      <c r="K20" s="475">
        <v>2750</v>
      </c>
      <c r="L20" s="497">
        <f>+O9</f>
        <v>2750</v>
      </c>
      <c r="M20" s="471">
        <f>+L20-K20</f>
        <v>0</v>
      </c>
      <c r="N20" s="477" t="str">
        <f>IF(K20+L20&lt;&gt;0,IF(K20&lt;&gt;0,IF(M20&lt;&gt;0,ROUND((+M20/K20),4),""),1),"")</f>
        <v/>
      </c>
      <c r="O20" s="470"/>
      <c r="P20" s="471"/>
      <c r="Q20" s="27"/>
      <c r="R20" s="27"/>
      <c r="S20" s="27"/>
    </row>
    <row r="21" spans="1:19" x14ac:dyDescent="0.25">
      <c r="A21" s="876"/>
      <c r="B21" s="4"/>
      <c r="C21" s="23"/>
      <c r="D21" s="23"/>
      <c r="E21" s="23"/>
      <c r="F21" s="23"/>
      <c r="G21" s="23"/>
      <c r="K21" s="23"/>
      <c r="L21" s="23"/>
      <c r="M21" s="23"/>
      <c r="N21" s="27"/>
      <c r="O21" s="23"/>
      <c r="P21" s="23"/>
      <c r="Q21" s="27"/>
      <c r="R21" s="27"/>
      <c r="S21" s="27"/>
    </row>
    <row r="22" spans="1:19" x14ac:dyDescent="0.25">
      <c r="A22" s="876"/>
      <c r="B22" s="4" t="s">
        <v>1363</v>
      </c>
      <c r="C22" s="23"/>
      <c r="D22" s="23"/>
      <c r="E22" s="23"/>
      <c r="F22" s="23"/>
      <c r="G22" s="23"/>
      <c r="K22" s="742">
        <f>SUM(K20:K21)</f>
        <v>2750</v>
      </c>
      <c r="L22" s="742">
        <f>SUM(L20:L21)</f>
        <v>2750</v>
      </c>
      <c r="M22" s="202">
        <f>+L22-K22</f>
        <v>0</v>
      </c>
      <c r="N22" s="743" t="str">
        <f>IF(K22+L22&lt;&gt;0,IF(K22&lt;&gt;0,IF(M22&lt;&gt;0,ROUND((+M22/K22),4),""),1),"")</f>
        <v/>
      </c>
      <c r="O22" s="23"/>
      <c r="P22" s="23"/>
      <c r="Q22" s="27"/>
      <c r="R22" s="27"/>
      <c r="S22" s="27"/>
    </row>
    <row r="23" spans="1:19" x14ac:dyDescent="0.25">
      <c r="A23" s="876"/>
      <c r="B23" s="4"/>
      <c r="C23" s="23"/>
      <c r="D23" s="23"/>
      <c r="E23" s="23"/>
      <c r="F23" s="23"/>
      <c r="G23" s="23"/>
      <c r="H23" s="23"/>
      <c r="I23" s="23"/>
      <c r="J23" s="23"/>
      <c r="K23" s="23"/>
      <c r="L23" s="23"/>
      <c r="M23" s="23"/>
      <c r="N23" s="27"/>
      <c r="O23" s="23"/>
      <c r="P23" s="23"/>
      <c r="Q23" s="27"/>
      <c r="R23" s="27"/>
      <c r="S23" s="27"/>
    </row>
    <row r="24" spans="1:19" x14ac:dyDescent="0.25">
      <c r="A24" s="876"/>
      <c r="B24" s="4"/>
      <c r="C24" s="23"/>
      <c r="D24" s="23"/>
      <c r="E24" s="23"/>
      <c r="F24" s="23"/>
      <c r="G24" s="23"/>
      <c r="H24" s="23"/>
      <c r="I24" s="23"/>
      <c r="J24" s="23"/>
      <c r="K24" s="23"/>
      <c r="L24" s="23"/>
      <c r="M24" s="23"/>
      <c r="N24" s="27"/>
      <c r="O24" s="23"/>
      <c r="P24" s="23"/>
      <c r="Q24" s="27"/>
      <c r="R24" s="27"/>
      <c r="S24" s="27"/>
    </row>
    <row r="25" spans="1:19" x14ac:dyDescent="0.25">
      <c r="A25" s="876"/>
      <c r="B25" s="4"/>
      <c r="C25" s="23"/>
      <c r="D25" s="23"/>
      <c r="E25" s="23"/>
      <c r="F25" s="23"/>
      <c r="G25" s="23"/>
      <c r="H25" s="23"/>
      <c r="I25" s="23"/>
      <c r="J25" s="23"/>
      <c r="K25" s="23"/>
      <c r="L25" s="23"/>
      <c r="M25" s="23"/>
      <c r="N25" s="27"/>
      <c r="O25" s="23"/>
      <c r="P25" s="23"/>
      <c r="Q25" s="27"/>
      <c r="R25" s="27"/>
      <c r="S25" s="27"/>
    </row>
    <row r="26" spans="1:19" x14ac:dyDescent="0.25">
      <c r="A26" s="876"/>
      <c r="B26" s="4"/>
      <c r="C26" s="23"/>
      <c r="D26" s="23"/>
      <c r="E26" s="23"/>
      <c r="F26" s="23"/>
      <c r="G26" s="23"/>
      <c r="H26" s="23"/>
      <c r="I26" s="23"/>
      <c r="J26" s="23"/>
      <c r="K26" s="23"/>
      <c r="L26" s="23"/>
      <c r="M26" s="23"/>
      <c r="N26" s="27"/>
      <c r="O26" s="23"/>
      <c r="P26" s="23"/>
      <c r="Q26" s="27"/>
      <c r="R26" s="27"/>
      <c r="S26" s="27"/>
    </row>
    <row r="27" spans="1:19" x14ac:dyDescent="0.25">
      <c r="A27" s="876"/>
      <c r="B27" s="4"/>
      <c r="C27" s="23"/>
      <c r="D27" s="23"/>
      <c r="E27" s="23"/>
      <c r="F27" s="23"/>
      <c r="G27" s="23"/>
      <c r="H27" s="23"/>
      <c r="I27" s="23"/>
      <c r="J27" s="23"/>
      <c r="K27" s="23"/>
      <c r="L27" s="23"/>
      <c r="M27" s="23"/>
      <c r="N27" s="27"/>
      <c r="O27" s="23"/>
      <c r="P27" s="23"/>
      <c r="Q27" s="27"/>
      <c r="R27" s="27"/>
      <c r="S27" s="27"/>
    </row>
    <row r="28" spans="1:19" x14ac:dyDescent="0.25">
      <c r="A28" s="876"/>
      <c r="B28" s="4"/>
      <c r="C28" s="23"/>
      <c r="D28" s="23"/>
      <c r="E28" s="23"/>
      <c r="F28" s="23"/>
      <c r="G28" s="23"/>
      <c r="H28" s="23"/>
      <c r="I28" s="23"/>
      <c r="J28" s="23"/>
      <c r="K28" s="23"/>
      <c r="L28" s="23"/>
      <c r="M28" s="23"/>
      <c r="N28" s="27"/>
      <c r="O28" s="23"/>
      <c r="P28" s="23"/>
      <c r="Q28" s="27"/>
      <c r="R28" s="27"/>
      <c r="S28" s="27"/>
    </row>
    <row r="29" spans="1:19" x14ac:dyDescent="0.25">
      <c r="A29" s="876"/>
      <c r="B29" s="4"/>
      <c r="C29" s="23"/>
      <c r="D29" s="23"/>
      <c r="E29" s="23"/>
      <c r="F29" s="23"/>
      <c r="G29" s="23"/>
      <c r="H29" s="23"/>
      <c r="I29" s="23"/>
      <c r="J29" s="23"/>
      <c r="K29" s="23"/>
      <c r="L29" s="23"/>
      <c r="M29" s="23"/>
      <c r="N29" s="27"/>
      <c r="O29" s="23"/>
      <c r="P29" s="23"/>
      <c r="Q29" s="27"/>
      <c r="R29" s="27"/>
      <c r="S29" s="27"/>
    </row>
    <row r="30" spans="1:19" x14ac:dyDescent="0.25">
      <c r="A30" s="876"/>
      <c r="B30" s="4"/>
      <c r="C30" s="23"/>
      <c r="D30" s="23"/>
      <c r="E30" s="23"/>
      <c r="F30" s="23"/>
      <c r="G30" s="23"/>
      <c r="H30" s="23"/>
      <c r="I30" s="23"/>
      <c r="J30" s="23"/>
      <c r="K30" s="23"/>
      <c r="L30" s="23"/>
      <c r="M30" s="23"/>
      <c r="N30" s="27"/>
      <c r="O30" s="23"/>
      <c r="P30" s="23"/>
      <c r="Q30" s="27"/>
      <c r="R30" s="27"/>
      <c r="S30" s="27"/>
    </row>
    <row r="31" spans="1:19" x14ac:dyDescent="0.25">
      <c r="A31" s="876"/>
      <c r="B31" s="4"/>
      <c r="C31" s="23"/>
      <c r="D31" s="23"/>
      <c r="E31" s="23"/>
      <c r="F31" s="23"/>
      <c r="G31" s="23"/>
      <c r="H31" s="23"/>
      <c r="I31" s="23"/>
      <c r="J31" s="23"/>
      <c r="K31" s="23"/>
      <c r="L31" s="23"/>
      <c r="M31" s="23"/>
      <c r="N31" s="27"/>
      <c r="O31" s="23"/>
      <c r="P31" s="23"/>
      <c r="Q31" s="27"/>
      <c r="R31" s="27"/>
      <c r="S31" s="27"/>
    </row>
    <row r="32" spans="1:19" x14ac:dyDescent="0.25">
      <c r="A32" s="876"/>
      <c r="B32" s="4"/>
      <c r="C32" s="23"/>
      <c r="D32" s="23"/>
      <c r="E32" s="23"/>
      <c r="F32" s="23"/>
      <c r="G32" s="23"/>
      <c r="H32" s="23"/>
      <c r="I32" s="23"/>
      <c r="J32" s="23"/>
      <c r="K32" s="23"/>
      <c r="L32" s="23"/>
      <c r="M32" s="23"/>
      <c r="N32" s="27"/>
      <c r="O32" s="23"/>
      <c r="P32" s="23"/>
      <c r="Q32" s="27"/>
      <c r="R32" s="27"/>
      <c r="S32" s="27"/>
    </row>
    <row r="33" spans="1:19" x14ac:dyDescent="0.25">
      <c r="A33" s="876"/>
      <c r="B33" s="4"/>
      <c r="C33" s="23"/>
      <c r="D33" s="23"/>
      <c r="E33" s="23"/>
      <c r="F33" s="23"/>
      <c r="G33" s="23"/>
      <c r="H33" s="23"/>
      <c r="I33" s="23"/>
      <c r="J33" s="23"/>
      <c r="K33" s="23"/>
      <c r="L33" s="23"/>
      <c r="M33" s="23"/>
      <c r="N33" s="27"/>
      <c r="O33" s="23"/>
      <c r="P33" s="23"/>
      <c r="Q33" s="27"/>
      <c r="R33" s="27"/>
      <c r="S33" s="27"/>
    </row>
    <row r="34" spans="1:19" x14ac:dyDescent="0.25">
      <c r="A34" s="876"/>
      <c r="B34" s="4"/>
      <c r="C34" s="23"/>
      <c r="D34" s="23"/>
      <c r="E34" s="23"/>
      <c r="F34" s="23"/>
      <c r="G34" s="23"/>
      <c r="H34" s="23"/>
      <c r="I34" s="23"/>
      <c r="J34" s="23"/>
      <c r="K34" s="23"/>
      <c r="L34" s="23"/>
      <c r="M34" s="23"/>
      <c r="N34" s="27"/>
      <c r="O34" s="23"/>
      <c r="P34" s="23"/>
      <c r="Q34" s="27"/>
      <c r="R34" s="27"/>
      <c r="S34" s="27"/>
    </row>
    <row r="35" spans="1:19" x14ac:dyDescent="0.25">
      <c r="A35" s="876"/>
      <c r="B35" s="4"/>
      <c r="C35" s="23"/>
      <c r="D35" s="23"/>
      <c r="E35" s="23"/>
      <c r="F35" s="23"/>
      <c r="G35" s="23"/>
      <c r="H35" s="23"/>
      <c r="I35" s="23"/>
      <c r="J35" s="23"/>
      <c r="K35" s="23"/>
      <c r="L35" s="23"/>
      <c r="M35" s="23"/>
      <c r="N35" s="27"/>
      <c r="O35" s="23"/>
      <c r="P35" s="23"/>
      <c r="Q35" s="27"/>
      <c r="R35" s="27"/>
      <c r="S35" s="27"/>
    </row>
    <row r="36" spans="1:19" x14ac:dyDescent="0.25">
      <c r="A36" s="876"/>
      <c r="B36" s="4"/>
      <c r="C36" s="23"/>
      <c r="D36" s="23"/>
      <c r="E36" s="23"/>
      <c r="F36" s="23"/>
      <c r="G36" s="23"/>
      <c r="H36" s="23"/>
      <c r="I36" s="23"/>
      <c r="J36" s="23"/>
      <c r="K36" s="23"/>
      <c r="L36" s="23"/>
      <c r="M36" s="23"/>
      <c r="N36" s="27"/>
      <c r="O36" s="23"/>
      <c r="P36" s="23"/>
      <c r="Q36" s="27"/>
      <c r="R36" s="27"/>
      <c r="S36" s="27"/>
    </row>
    <row r="37" spans="1:19" x14ac:dyDescent="0.25">
      <c r="A37" s="876"/>
      <c r="B37" s="4"/>
      <c r="C37" s="23"/>
      <c r="D37" s="23"/>
      <c r="E37" s="23"/>
      <c r="F37" s="23"/>
      <c r="G37" s="23"/>
      <c r="H37" s="23"/>
      <c r="I37" s="23"/>
      <c r="J37" s="23"/>
      <c r="K37" s="23"/>
      <c r="L37" s="23"/>
      <c r="M37" s="23"/>
      <c r="N37" s="27"/>
      <c r="O37" s="23"/>
      <c r="P37" s="23"/>
      <c r="Q37" s="27"/>
      <c r="R37" s="27"/>
      <c r="S37" s="27"/>
    </row>
    <row r="38" spans="1:19" x14ac:dyDescent="0.25">
      <c r="A38" s="876"/>
      <c r="B38" s="4"/>
      <c r="C38" s="23"/>
      <c r="D38" s="23"/>
      <c r="E38" s="23"/>
      <c r="F38" s="23"/>
      <c r="G38" s="23"/>
      <c r="H38" s="23"/>
      <c r="I38" s="23"/>
      <c r="J38" s="23"/>
      <c r="K38" s="23"/>
      <c r="L38" s="23"/>
      <c r="M38" s="23"/>
      <c r="N38" s="27"/>
      <c r="O38" s="23"/>
      <c r="P38" s="23"/>
      <c r="Q38" s="27"/>
      <c r="R38" s="27"/>
      <c r="S38" s="27"/>
    </row>
    <row r="39" spans="1:19" x14ac:dyDescent="0.25">
      <c r="A39" s="876"/>
      <c r="B39" s="4"/>
      <c r="C39" s="23"/>
      <c r="D39" s="23"/>
      <c r="E39" s="23"/>
      <c r="F39" s="23"/>
      <c r="G39" s="23"/>
      <c r="H39" s="23"/>
      <c r="I39" s="23"/>
      <c r="J39" s="23"/>
      <c r="K39" s="23"/>
      <c r="L39" s="23"/>
      <c r="M39" s="23"/>
      <c r="N39" s="27"/>
      <c r="O39" s="23"/>
      <c r="P39" s="23"/>
      <c r="Q39" s="27"/>
      <c r="R39" s="27"/>
      <c r="S39" s="27"/>
    </row>
    <row r="40" spans="1:19" x14ac:dyDescent="0.25">
      <c r="A40" s="876"/>
      <c r="B40" s="4"/>
      <c r="C40" s="23"/>
      <c r="D40" s="23"/>
      <c r="E40" s="23"/>
      <c r="F40" s="23"/>
      <c r="G40" s="23"/>
      <c r="H40" s="23"/>
      <c r="I40" s="23"/>
      <c r="J40" s="23"/>
      <c r="K40" s="23"/>
      <c r="L40" s="23"/>
      <c r="M40" s="23"/>
      <c r="N40" s="27"/>
      <c r="O40" s="23"/>
      <c r="P40" s="23"/>
      <c r="Q40" s="27"/>
      <c r="R40" s="27"/>
      <c r="S40" s="27"/>
    </row>
    <row r="41" spans="1:19" x14ac:dyDescent="0.25">
      <c r="A41" s="876"/>
      <c r="B41" s="4"/>
      <c r="C41" s="23"/>
      <c r="D41" s="23"/>
      <c r="E41" s="23"/>
      <c r="F41" s="23"/>
      <c r="G41" s="23"/>
      <c r="H41" s="23"/>
      <c r="I41" s="23"/>
      <c r="J41" s="23"/>
      <c r="K41" s="23"/>
      <c r="L41" s="23"/>
      <c r="M41" s="23"/>
      <c r="N41" s="27"/>
      <c r="O41" s="23"/>
      <c r="P41" s="23"/>
      <c r="Q41" s="27"/>
      <c r="R41" s="27"/>
      <c r="S41" s="27"/>
    </row>
    <row r="42" spans="1:19" x14ac:dyDescent="0.25">
      <c r="A42" s="876"/>
      <c r="B42" s="4"/>
      <c r="C42" s="23"/>
      <c r="D42" s="23"/>
      <c r="E42" s="23"/>
      <c r="F42" s="23"/>
      <c r="G42" s="23"/>
      <c r="H42" s="23"/>
      <c r="I42" s="23"/>
      <c r="J42" s="23"/>
      <c r="K42" s="23"/>
      <c r="L42" s="23"/>
      <c r="M42" s="23"/>
      <c r="N42" s="27"/>
      <c r="O42" s="23"/>
      <c r="P42" s="23"/>
      <c r="Q42" s="27"/>
      <c r="R42" s="27"/>
      <c r="S42" s="27"/>
    </row>
    <row r="43" spans="1:19" x14ac:dyDescent="0.25">
      <c r="A43" s="876"/>
      <c r="B43" s="4"/>
      <c r="C43" s="23"/>
      <c r="D43" s="23"/>
      <c r="E43" s="23"/>
      <c r="F43" s="23"/>
      <c r="G43" s="23"/>
      <c r="H43" s="23"/>
      <c r="I43" s="23"/>
      <c r="J43" s="23"/>
      <c r="K43" s="23"/>
      <c r="L43" s="23"/>
      <c r="M43" s="23"/>
      <c r="N43" s="27"/>
      <c r="O43" s="23"/>
      <c r="P43" s="23"/>
      <c r="Q43" s="27"/>
      <c r="R43" s="27"/>
      <c r="S43" s="27"/>
    </row>
    <row r="44" spans="1:19" x14ac:dyDescent="0.25">
      <c r="A44" s="876"/>
      <c r="B44" s="4"/>
      <c r="C44" s="23"/>
      <c r="D44" s="23"/>
      <c r="E44" s="23"/>
      <c r="F44" s="23"/>
      <c r="G44" s="23"/>
      <c r="H44" s="23"/>
      <c r="I44" s="23"/>
      <c r="J44" s="23"/>
      <c r="K44" s="23"/>
      <c r="L44" s="23"/>
      <c r="M44" s="23"/>
      <c r="N44" s="27"/>
      <c r="O44" s="23"/>
      <c r="P44" s="23"/>
      <c r="Q44" s="27"/>
      <c r="R44" s="27"/>
      <c r="S44" s="27"/>
    </row>
    <row r="45" spans="1:19" x14ac:dyDescent="0.25">
      <c r="A45" s="876"/>
      <c r="B45" s="4"/>
      <c r="C45" s="23"/>
      <c r="D45" s="23"/>
      <c r="E45" s="23"/>
      <c r="F45" s="23"/>
      <c r="G45" s="23"/>
      <c r="H45" s="23"/>
      <c r="I45" s="23"/>
      <c r="J45" s="23"/>
      <c r="K45" s="23"/>
      <c r="L45" s="23"/>
      <c r="M45" s="23"/>
      <c r="N45" s="27"/>
      <c r="O45" s="23"/>
      <c r="P45" s="23"/>
      <c r="Q45" s="27"/>
      <c r="R45" s="27"/>
      <c r="S45" s="27"/>
    </row>
    <row r="46" spans="1:19" x14ac:dyDescent="0.25">
      <c r="A46" s="876"/>
      <c r="B46" s="4"/>
      <c r="C46" s="23"/>
      <c r="D46" s="23"/>
      <c r="E46" s="23"/>
      <c r="F46" s="23"/>
      <c r="G46" s="23"/>
      <c r="H46" s="23"/>
      <c r="I46" s="23"/>
      <c r="J46" s="23"/>
      <c r="K46" s="23"/>
      <c r="L46" s="23"/>
      <c r="M46" s="23"/>
      <c r="N46" s="27"/>
      <c r="O46" s="23"/>
      <c r="P46" s="23"/>
      <c r="Q46" s="27"/>
      <c r="R46" s="27"/>
      <c r="S46" s="27"/>
    </row>
    <row r="47" spans="1:19" x14ac:dyDescent="0.25">
      <c r="A47" s="876"/>
      <c r="B47" s="4"/>
      <c r="C47" s="23"/>
      <c r="D47" s="23"/>
      <c r="E47" s="23"/>
      <c r="F47" s="23"/>
      <c r="G47" s="23"/>
      <c r="H47" s="23"/>
      <c r="I47" s="23"/>
      <c r="J47" s="23"/>
      <c r="K47" s="23"/>
      <c r="L47" s="23"/>
      <c r="M47" s="23"/>
      <c r="N47" s="27"/>
      <c r="O47" s="23"/>
      <c r="P47" s="23"/>
      <c r="Q47" s="27"/>
      <c r="R47" s="27"/>
      <c r="S47" s="27"/>
    </row>
    <row r="48" spans="1:19" x14ac:dyDescent="0.25">
      <c r="A48" s="876"/>
      <c r="B48" s="4"/>
      <c r="C48" s="23"/>
      <c r="D48" s="23"/>
      <c r="E48" s="23"/>
      <c r="F48" s="23"/>
      <c r="G48" s="23"/>
      <c r="H48" s="23"/>
      <c r="I48" s="23"/>
      <c r="J48" s="23"/>
      <c r="K48" s="23"/>
      <c r="L48" s="23"/>
      <c r="M48" s="23"/>
      <c r="N48" s="27"/>
      <c r="O48" s="23"/>
      <c r="P48" s="23"/>
      <c r="Q48" s="27"/>
      <c r="R48" s="27"/>
      <c r="S48" s="27"/>
    </row>
    <row r="49" spans="1:19" x14ac:dyDescent="0.25">
      <c r="A49" s="876"/>
      <c r="B49" s="4"/>
      <c r="C49" s="23"/>
      <c r="D49" s="23"/>
      <c r="E49" s="23"/>
      <c r="F49" s="23"/>
      <c r="G49" s="23"/>
      <c r="H49" s="23"/>
      <c r="I49" s="23"/>
      <c r="J49" s="23"/>
      <c r="K49" s="23"/>
      <c r="L49" s="23"/>
      <c r="M49" s="23"/>
      <c r="N49" s="27"/>
      <c r="O49" s="23"/>
      <c r="P49" s="23"/>
      <c r="Q49" s="27"/>
      <c r="R49" s="27"/>
      <c r="S49" s="27"/>
    </row>
    <row r="50" spans="1:19" x14ac:dyDescent="0.25">
      <c r="A50" s="876"/>
      <c r="B50" s="4"/>
      <c r="C50" s="23"/>
      <c r="D50" s="23"/>
      <c r="E50" s="23"/>
      <c r="F50" s="23"/>
      <c r="G50" s="23"/>
      <c r="H50" s="23"/>
      <c r="I50" s="23"/>
      <c r="J50" s="23"/>
      <c r="K50" s="23"/>
      <c r="L50" s="23"/>
      <c r="M50" s="23"/>
      <c r="N50" s="27"/>
      <c r="O50" s="23"/>
      <c r="P50" s="23"/>
      <c r="Q50" s="27"/>
      <c r="R50" s="27"/>
      <c r="S50" s="27"/>
    </row>
    <row r="51" spans="1:19" x14ac:dyDescent="0.25">
      <c r="A51" s="876"/>
      <c r="B51" s="4"/>
      <c r="C51" s="23"/>
      <c r="D51" s="23"/>
      <c r="E51" s="23"/>
      <c r="F51" s="23"/>
      <c r="G51" s="23"/>
      <c r="H51" s="23"/>
      <c r="I51" s="23"/>
      <c r="J51" s="23"/>
      <c r="K51" s="23"/>
      <c r="L51" s="23"/>
      <c r="M51" s="23"/>
      <c r="N51" s="27"/>
      <c r="O51" s="23"/>
      <c r="P51" s="23"/>
      <c r="Q51" s="27"/>
      <c r="R51" s="27"/>
      <c r="S51" s="27"/>
    </row>
    <row r="52" spans="1:19" x14ac:dyDescent="0.25">
      <c r="A52" s="876"/>
      <c r="B52" s="4"/>
      <c r="C52" s="23"/>
      <c r="D52" s="23"/>
      <c r="E52" s="23"/>
      <c r="F52" s="23"/>
      <c r="G52" s="23"/>
      <c r="H52" s="23"/>
      <c r="I52" s="23"/>
      <c r="J52" s="23"/>
      <c r="K52" s="23"/>
      <c r="L52" s="23"/>
      <c r="M52" s="23"/>
      <c r="N52" s="27"/>
      <c r="O52" s="23"/>
      <c r="P52" s="23"/>
      <c r="Q52" s="27"/>
      <c r="R52" s="27"/>
      <c r="S52" s="27"/>
    </row>
    <row r="53" spans="1:19" x14ac:dyDescent="0.25">
      <c r="A53" s="876"/>
      <c r="B53" s="4"/>
      <c r="C53" s="23"/>
      <c r="D53" s="23"/>
      <c r="E53" s="23"/>
      <c r="F53" s="23"/>
      <c r="G53" s="23"/>
      <c r="H53" s="23"/>
      <c r="I53" s="23"/>
      <c r="J53" s="23"/>
      <c r="K53" s="23"/>
      <c r="L53" s="23"/>
      <c r="M53" s="23"/>
      <c r="N53" s="27"/>
      <c r="O53" s="23"/>
      <c r="P53" s="23"/>
      <c r="Q53" s="27"/>
      <c r="R53" s="27"/>
      <c r="S53" s="27"/>
    </row>
    <row r="54" spans="1:19" x14ac:dyDescent="0.25">
      <c r="A54" s="876"/>
      <c r="B54" s="4"/>
      <c r="C54" s="23"/>
      <c r="D54" s="23"/>
      <c r="E54" s="23"/>
      <c r="F54" s="23"/>
      <c r="G54" s="23"/>
      <c r="H54" s="23"/>
      <c r="I54" s="23"/>
      <c r="J54" s="23"/>
      <c r="K54" s="23"/>
      <c r="L54" s="23"/>
      <c r="M54" s="23"/>
      <c r="N54" s="27"/>
      <c r="O54" s="23"/>
      <c r="P54" s="23"/>
      <c r="Q54" s="27"/>
      <c r="R54" s="27"/>
      <c r="S54" s="27"/>
    </row>
    <row r="55" spans="1:19" x14ac:dyDescent="0.25">
      <c r="A55" s="876"/>
      <c r="B55" s="4"/>
      <c r="C55" s="23"/>
      <c r="D55" s="23"/>
      <c r="E55" s="23"/>
      <c r="F55" s="23"/>
      <c r="G55" s="23"/>
      <c r="H55" s="23"/>
      <c r="I55" s="23"/>
      <c r="J55" s="23"/>
      <c r="K55" s="23"/>
      <c r="L55" s="23"/>
      <c r="M55" s="23"/>
      <c r="N55" s="27"/>
      <c r="O55" s="23"/>
      <c r="P55" s="23"/>
      <c r="Q55" s="27"/>
      <c r="R55" s="27"/>
      <c r="S55" s="27"/>
    </row>
    <row r="56" spans="1:19" x14ac:dyDescent="0.25">
      <c r="A56" s="876"/>
      <c r="B56" s="4"/>
      <c r="C56" s="23"/>
      <c r="D56" s="23"/>
      <c r="E56" s="23"/>
      <c r="F56" s="23"/>
      <c r="G56" s="23"/>
      <c r="H56" s="23"/>
      <c r="I56" s="23"/>
      <c r="J56" s="23"/>
      <c r="K56" s="23"/>
      <c r="L56" s="23"/>
      <c r="M56" s="23"/>
      <c r="N56" s="27"/>
      <c r="O56" s="23"/>
      <c r="P56" s="23"/>
      <c r="Q56" s="27"/>
      <c r="R56" s="27"/>
      <c r="S56" s="27"/>
    </row>
    <row r="57" spans="1:19" x14ac:dyDescent="0.25">
      <c r="A57" s="876"/>
      <c r="B57" s="4"/>
      <c r="C57" s="23"/>
      <c r="D57" s="23"/>
      <c r="E57" s="23"/>
      <c r="F57" s="23"/>
      <c r="G57" s="23"/>
      <c r="H57" s="23"/>
      <c r="I57" s="23"/>
      <c r="J57" s="23"/>
      <c r="K57" s="23"/>
      <c r="L57" s="23"/>
      <c r="M57" s="23"/>
      <c r="N57" s="27"/>
      <c r="O57" s="23"/>
      <c r="P57" s="23"/>
      <c r="Q57" s="27"/>
      <c r="R57" s="27"/>
      <c r="S57" s="27"/>
    </row>
    <row r="58" spans="1:19" x14ac:dyDescent="0.25">
      <c r="A58" s="876"/>
      <c r="B58" s="4"/>
      <c r="C58" s="23"/>
      <c r="D58" s="23"/>
      <c r="E58" s="23"/>
      <c r="F58" s="23"/>
      <c r="G58" s="23"/>
      <c r="H58" s="23"/>
      <c r="I58" s="23"/>
      <c r="J58" s="23"/>
      <c r="K58" s="23"/>
      <c r="L58" s="23"/>
      <c r="M58" s="23"/>
      <c r="N58" s="27"/>
      <c r="O58" s="23"/>
      <c r="P58" s="23"/>
      <c r="Q58" s="27"/>
      <c r="R58" s="27"/>
      <c r="S58" s="27"/>
    </row>
    <row r="59" spans="1:19" x14ac:dyDescent="0.25">
      <c r="A59" s="876"/>
      <c r="B59" s="4"/>
      <c r="C59" s="23"/>
      <c r="D59" s="23"/>
      <c r="E59" s="23"/>
      <c r="F59" s="23"/>
      <c r="G59" s="23"/>
      <c r="H59" s="23"/>
      <c r="I59" s="23"/>
      <c r="J59" s="23"/>
      <c r="K59" s="23"/>
      <c r="L59" s="23"/>
      <c r="M59" s="23"/>
      <c r="N59" s="27"/>
      <c r="O59" s="23"/>
      <c r="P59" s="23"/>
      <c r="Q59" s="27"/>
      <c r="R59" s="27"/>
      <c r="S59" s="27"/>
    </row>
    <row r="60" spans="1:19" x14ac:dyDescent="0.25">
      <c r="A60" s="876"/>
      <c r="B60" s="4"/>
      <c r="C60" s="23"/>
      <c r="D60" s="23"/>
      <c r="E60" s="23"/>
      <c r="F60" s="23"/>
      <c r="G60" s="23"/>
      <c r="H60" s="23"/>
      <c r="I60" s="23"/>
      <c r="J60" s="23"/>
      <c r="K60" s="23"/>
      <c r="L60" s="23"/>
      <c r="M60" s="23"/>
      <c r="N60" s="27"/>
      <c r="O60" s="23"/>
      <c r="P60" s="23"/>
      <c r="Q60" s="27"/>
      <c r="R60" s="27"/>
      <c r="S60" s="27"/>
    </row>
    <row r="61" spans="1:19" x14ac:dyDescent="0.25">
      <c r="A61" s="876"/>
      <c r="B61" s="4"/>
      <c r="C61" s="23"/>
      <c r="D61" s="23"/>
      <c r="E61" s="23"/>
      <c r="F61" s="23"/>
      <c r="G61" s="23"/>
      <c r="H61" s="23"/>
      <c r="I61" s="23"/>
      <c r="J61" s="23"/>
      <c r="K61" s="23"/>
      <c r="L61" s="23"/>
      <c r="M61" s="23"/>
      <c r="N61" s="27"/>
      <c r="O61" s="23"/>
      <c r="P61" s="23"/>
      <c r="Q61" s="27"/>
      <c r="R61" s="27"/>
      <c r="S61" s="27"/>
    </row>
    <row r="62" spans="1:19" x14ac:dyDescent="0.25">
      <c r="A62" s="876"/>
      <c r="B62" s="4"/>
      <c r="C62" s="23"/>
      <c r="D62" s="23"/>
      <c r="E62" s="23"/>
      <c r="F62" s="23"/>
      <c r="G62" s="23"/>
      <c r="H62" s="23"/>
      <c r="I62" s="23"/>
      <c r="J62" s="23"/>
      <c r="K62" s="23"/>
      <c r="L62" s="23"/>
      <c r="M62" s="23"/>
      <c r="N62" s="27"/>
      <c r="O62" s="23"/>
      <c r="P62" s="23"/>
      <c r="Q62" s="27"/>
      <c r="R62" s="27"/>
      <c r="S62" s="27"/>
    </row>
    <row r="63" spans="1:19" x14ac:dyDescent="0.25">
      <c r="A63" s="876"/>
      <c r="B63" s="4"/>
      <c r="C63" s="23"/>
      <c r="D63" s="23"/>
      <c r="E63" s="23"/>
      <c r="F63" s="23"/>
      <c r="G63" s="23"/>
      <c r="H63" s="23"/>
      <c r="I63" s="23"/>
      <c r="J63" s="23"/>
      <c r="K63" s="23"/>
      <c r="L63" s="23"/>
      <c r="M63" s="23"/>
      <c r="N63" s="27"/>
      <c r="O63" s="23"/>
      <c r="P63" s="23"/>
      <c r="Q63" s="27"/>
      <c r="R63" s="27"/>
      <c r="S63" s="27"/>
    </row>
    <row r="64" spans="1:19" x14ac:dyDescent="0.25">
      <c r="A64" s="876"/>
      <c r="B64" s="4"/>
      <c r="C64" s="23"/>
      <c r="D64" s="23"/>
      <c r="E64" s="23"/>
      <c r="F64" s="23"/>
      <c r="G64" s="23"/>
      <c r="H64" s="23"/>
      <c r="I64" s="23"/>
      <c r="J64" s="23"/>
      <c r="K64" s="23"/>
      <c r="L64" s="23"/>
      <c r="M64" s="23"/>
      <c r="N64" s="27"/>
      <c r="O64" s="23"/>
      <c r="P64" s="23"/>
      <c r="Q64" s="27"/>
      <c r="R64" s="27"/>
      <c r="S64" s="27"/>
    </row>
    <row r="65" spans="1:19" x14ac:dyDescent="0.25">
      <c r="A65" s="876"/>
      <c r="B65" s="4"/>
      <c r="C65" s="23"/>
      <c r="D65" s="23"/>
      <c r="E65" s="23"/>
      <c r="F65" s="23"/>
      <c r="G65" s="23"/>
      <c r="H65" s="23"/>
      <c r="I65" s="23"/>
      <c r="J65" s="23"/>
      <c r="K65" s="23"/>
      <c r="L65" s="23"/>
      <c r="M65" s="23"/>
      <c r="N65" s="27"/>
      <c r="O65" s="23"/>
      <c r="P65" s="23"/>
      <c r="Q65" s="27"/>
      <c r="R65" s="27"/>
      <c r="S65" s="27"/>
    </row>
    <row r="66" spans="1:19" x14ac:dyDescent="0.25">
      <c r="A66" s="876"/>
      <c r="B66" s="4"/>
      <c r="C66" s="23"/>
      <c r="D66" s="23"/>
      <c r="E66" s="23"/>
      <c r="F66" s="23"/>
      <c r="G66" s="23"/>
      <c r="H66" s="23"/>
      <c r="I66" s="23"/>
      <c r="J66" s="23"/>
      <c r="K66" s="23"/>
      <c r="L66" s="23"/>
      <c r="M66" s="23"/>
      <c r="N66" s="4"/>
      <c r="O66" s="23"/>
      <c r="P66" s="23"/>
      <c r="Q66" s="4"/>
      <c r="R66" s="4"/>
      <c r="S66" s="4"/>
    </row>
    <row r="67" spans="1:19" x14ac:dyDescent="0.25">
      <c r="A67" s="876"/>
      <c r="B67" s="4"/>
      <c r="C67" s="23"/>
      <c r="D67" s="23"/>
      <c r="E67" s="23"/>
      <c r="F67" s="23"/>
      <c r="G67" s="23"/>
      <c r="H67" s="23"/>
      <c r="I67" s="23"/>
      <c r="J67" s="23"/>
      <c r="K67" s="23"/>
      <c r="L67" s="23"/>
      <c r="M67" s="23"/>
      <c r="N67" s="4"/>
      <c r="O67" s="23"/>
      <c r="P67" s="23"/>
      <c r="Q67" s="4"/>
      <c r="R67" s="4"/>
      <c r="S67" s="4"/>
    </row>
    <row r="68" spans="1:19" x14ac:dyDescent="0.25">
      <c r="A68" s="876"/>
      <c r="B68" s="4"/>
      <c r="C68" s="23"/>
      <c r="D68" s="23"/>
      <c r="E68" s="23"/>
      <c r="F68" s="23"/>
      <c r="G68" s="23"/>
      <c r="H68" s="23"/>
      <c r="I68" s="23"/>
      <c r="J68" s="23"/>
      <c r="K68" s="23"/>
      <c r="L68" s="23"/>
      <c r="M68" s="23"/>
      <c r="N68" s="4"/>
      <c r="O68" s="23"/>
      <c r="P68" s="23"/>
      <c r="Q68" s="4"/>
      <c r="R68" s="4"/>
      <c r="S68" s="4"/>
    </row>
    <row r="69" spans="1:19" x14ac:dyDescent="0.25">
      <c r="A69" s="876"/>
      <c r="B69" s="4"/>
      <c r="C69" s="23"/>
      <c r="D69" s="23"/>
      <c r="E69" s="23"/>
      <c r="F69" s="23"/>
      <c r="G69" s="23"/>
      <c r="H69" s="23"/>
      <c r="I69" s="23"/>
      <c r="J69" s="23"/>
      <c r="K69" s="23"/>
      <c r="L69" s="23"/>
      <c r="M69" s="23"/>
      <c r="N69" s="4"/>
      <c r="O69" s="23"/>
      <c r="P69" s="23"/>
      <c r="Q69" s="4"/>
      <c r="R69" s="4"/>
      <c r="S69" s="4"/>
    </row>
    <row r="70" spans="1:19" x14ac:dyDescent="0.25">
      <c r="A70" s="876"/>
      <c r="B70" s="4"/>
      <c r="C70" s="23"/>
      <c r="D70" s="23"/>
      <c r="E70" s="23"/>
      <c r="F70" s="23"/>
      <c r="G70" s="23"/>
      <c r="H70" s="23"/>
      <c r="I70" s="23"/>
      <c r="J70" s="23"/>
      <c r="K70" s="23"/>
      <c r="L70" s="23"/>
      <c r="M70" s="23"/>
      <c r="N70" s="4"/>
      <c r="O70" s="23"/>
      <c r="P70" s="23"/>
      <c r="Q70" s="4"/>
      <c r="R70" s="4"/>
      <c r="S70" s="4"/>
    </row>
    <row r="71" spans="1:19" x14ac:dyDescent="0.25">
      <c r="A71" s="876"/>
      <c r="B71" s="4"/>
      <c r="C71" s="23"/>
      <c r="D71" s="23"/>
      <c r="E71" s="23"/>
      <c r="F71" s="23"/>
      <c r="G71" s="23"/>
      <c r="H71" s="23"/>
      <c r="I71" s="23"/>
      <c r="J71" s="23"/>
      <c r="K71" s="23"/>
      <c r="L71" s="23"/>
      <c r="M71" s="23"/>
      <c r="N71" s="4"/>
      <c r="O71" s="23"/>
      <c r="P71" s="23"/>
      <c r="Q71" s="4"/>
      <c r="R71" s="4"/>
      <c r="S71" s="4"/>
    </row>
    <row r="72" spans="1:19" x14ac:dyDescent="0.25">
      <c r="A72" s="876"/>
      <c r="B72" s="4"/>
      <c r="C72" s="23"/>
      <c r="D72" s="23"/>
      <c r="E72" s="23"/>
      <c r="F72" s="23"/>
      <c r="G72" s="23"/>
      <c r="H72" s="23"/>
      <c r="I72" s="23"/>
      <c r="J72" s="23"/>
      <c r="K72" s="23"/>
      <c r="L72" s="23"/>
      <c r="M72" s="23"/>
      <c r="N72" s="4"/>
      <c r="O72" s="23"/>
      <c r="P72" s="23"/>
      <c r="Q72" s="4"/>
      <c r="R72" s="4"/>
      <c r="S72" s="4"/>
    </row>
    <row r="73" spans="1:19" x14ac:dyDescent="0.25">
      <c r="A73" s="876"/>
      <c r="B73" s="4"/>
      <c r="C73" s="23"/>
      <c r="D73" s="23"/>
      <c r="E73" s="23"/>
      <c r="F73" s="23"/>
      <c r="G73" s="23"/>
      <c r="H73" s="23"/>
      <c r="I73" s="23"/>
      <c r="J73" s="23"/>
      <c r="K73" s="23"/>
      <c r="L73" s="23"/>
      <c r="M73" s="23"/>
      <c r="N73" s="4"/>
      <c r="O73" s="23"/>
      <c r="P73" s="23"/>
      <c r="Q73" s="4"/>
      <c r="R73" s="4"/>
      <c r="S73" s="4"/>
    </row>
    <row r="74" spans="1:19" x14ac:dyDescent="0.25">
      <c r="A74" s="876"/>
      <c r="B74" s="4"/>
      <c r="C74" s="23"/>
      <c r="D74" s="23"/>
      <c r="E74" s="23"/>
      <c r="F74" s="23"/>
      <c r="G74" s="23"/>
      <c r="H74" s="23"/>
      <c r="I74" s="23"/>
      <c r="J74" s="23"/>
      <c r="K74" s="23"/>
      <c r="L74" s="23"/>
      <c r="M74" s="23"/>
      <c r="N74" s="4"/>
      <c r="O74" s="23"/>
      <c r="P74" s="23"/>
      <c r="Q74" s="4"/>
      <c r="R74" s="4"/>
      <c r="S74" s="4"/>
    </row>
    <row r="75" spans="1:19" x14ac:dyDescent="0.25">
      <c r="A75" s="876"/>
      <c r="B75" s="4"/>
      <c r="C75" s="23"/>
      <c r="D75" s="23"/>
      <c r="E75" s="23"/>
      <c r="F75" s="23"/>
      <c r="G75" s="23"/>
      <c r="H75" s="23"/>
      <c r="I75" s="23"/>
      <c r="J75" s="23"/>
      <c r="K75" s="23"/>
      <c r="L75" s="23"/>
      <c r="M75" s="23"/>
      <c r="N75" s="4"/>
      <c r="O75" s="23"/>
      <c r="P75" s="23"/>
      <c r="Q75" s="4"/>
      <c r="R75" s="4"/>
      <c r="S75" s="4"/>
    </row>
    <row r="76" spans="1:19" x14ac:dyDescent="0.25">
      <c r="A76" s="876"/>
      <c r="B76" s="4"/>
      <c r="C76" s="23"/>
      <c r="D76" s="23"/>
      <c r="E76" s="23"/>
      <c r="F76" s="23"/>
      <c r="G76" s="23"/>
      <c r="H76" s="23"/>
      <c r="I76" s="23"/>
      <c r="J76" s="23"/>
      <c r="K76" s="23"/>
      <c r="L76" s="23"/>
      <c r="M76" s="23"/>
      <c r="N76" s="4"/>
      <c r="O76" s="23"/>
      <c r="P76" s="23"/>
      <c r="Q76" s="4"/>
      <c r="R76" s="4"/>
      <c r="S76" s="4"/>
    </row>
    <row r="77" spans="1:19" x14ac:dyDescent="0.25">
      <c r="A77" s="876"/>
      <c r="B77" s="4"/>
      <c r="C77" s="23"/>
      <c r="D77" s="23"/>
      <c r="E77" s="23"/>
      <c r="F77" s="23"/>
      <c r="G77" s="23"/>
      <c r="H77" s="23"/>
      <c r="I77" s="23"/>
      <c r="J77" s="23"/>
      <c r="K77" s="23"/>
      <c r="L77" s="23"/>
      <c r="M77" s="23"/>
      <c r="N77" s="4"/>
      <c r="O77" s="23"/>
      <c r="P77" s="23"/>
      <c r="Q77" s="4"/>
      <c r="R77" s="4"/>
      <c r="S77" s="4"/>
    </row>
    <row r="78" spans="1:19" x14ac:dyDescent="0.25">
      <c r="A78" s="876"/>
      <c r="B78" s="4"/>
      <c r="C78" s="23"/>
      <c r="D78" s="23"/>
      <c r="E78" s="23"/>
      <c r="F78" s="23"/>
      <c r="G78" s="23"/>
      <c r="H78" s="23"/>
      <c r="I78" s="23"/>
      <c r="J78" s="23"/>
      <c r="K78" s="23"/>
      <c r="L78" s="23"/>
      <c r="M78" s="23"/>
      <c r="N78" s="4"/>
      <c r="O78" s="23"/>
      <c r="P78" s="23"/>
      <c r="Q78" s="4"/>
      <c r="R78" s="4"/>
      <c r="S78" s="4"/>
    </row>
    <row r="79" spans="1:19" x14ac:dyDescent="0.25">
      <c r="A79" s="876"/>
      <c r="B79" s="4"/>
      <c r="C79" s="23"/>
      <c r="D79" s="23"/>
      <c r="E79" s="23"/>
      <c r="F79" s="23"/>
      <c r="G79" s="23"/>
      <c r="H79" s="23"/>
      <c r="I79" s="23"/>
      <c r="J79" s="23"/>
      <c r="K79" s="23"/>
      <c r="L79" s="23"/>
      <c r="M79" s="23"/>
      <c r="N79" s="4"/>
      <c r="O79" s="23"/>
      <c r="P79" s="23"/>
      <c r="Q79" s="4"/>
      <c r="R79" s="4"/>
      <c r="S79" s="4"/>
    </row>
    <row r="80" spans="1:19" x14ac:dyDescent="0.25">
      <c r="A80" s="876"/>
      <c r="B80" s="4"/>
      <c r="C80" s="23"/>
      <c r="D80" s="23"/>
      <c r="E80" s="23"/>
      <c r="F80" s="23"/>
      <c r="G80" s="23"/>
      <c r="H80" s="23"/>
      <c r="I80" s="23"/>
      <c r="J80" s="23"/>
      <c r="K80" s="23"/>
      <c r="L80" s="23"/>
      <c r="M80" s="23"/>
      <c r="N80" s="4"/>
      <c r="O80" s="23"/>
      <c r="P80" s="23"/>
      <c r="Q80" s="4"/>
      <c r="R80" s="4"/>
      <c r="S80" s="4"/>
    </row>
    <row r="81" spans="1:19" x14ac:dyDescent="0.25">
      <c r="A81" s="876"/>
      <c r="B81" s="4"/>
      <c r="C81" s="23"/>
      <c r="D81" s="23"/>
      <c r="E81" s="23"/>
      <c r="F81" s="23"/>
      <c r="G81" s="23"/>
      <c r="H81" s="23"/>
      <c r="I81" s="23"/>
      <c r="J81" s="23"/>
      <c r="K81" s="23"/>
      <c r="L81" s="23"/>
      <c r="M81" s="23"/>
      <c r="N81" s="4"/>
      <c r="O81" s="23"/>
      <c r="P81" s="23"/>
      <c r="Q81" s="4"/>
      <c r="R81" s="4"/>
      <c r="S81" s="4"/>
    </row>
    <row r="82" spans="1:19" x14ac:dyDescent="0.25">
      <c r="A82" s="876"/>
      <c r="B82" s="4"/>
      <c r="C82" s="23"/>
      <c r="D82" s="23"/>
      <c r="E82" s="23"/>
      <c r="F82" s="23"/>
      <c r="G82" s="23"/>
      <c r="H82" s="23"/>
      <c r="I82" s="23"/>
      <c r="J82" s="23"/>
      <c r="K82" s="23"/>
      <c r="L82" s="23"/>
      <c r="M82" s="23"/>
      <c r="N82" s="4"/>
      <c r="O82" s="23"/>
      <c r="P82" s="23"/>
      <c r="Q82" s="4"/>
      <c r="R82" s="4"/>
      <c r="S82" s="4"/>
    </row>
    <row r="83" spans="1:19" x14ac:dyDescent="0.25">
      <c r="A83" s="876"/>
      <c r="B83" s="4"/>
      <c r="C83" s="23"/>
      <c r="D83" s="23"/>
      <c r="E83" s="23"/>
      <c r="F83" s="23"/>
      <c r="G83" s="23"/>
      <c r="H83" s="23"/>
      <c r="I83" s="23"/>
      <c r="J83" s="23"/>
      <c r="K83" s="23"/>
      <c r="L83" s="23"/>
      <c r="M83" s="23"/>
      <c r="N83" s="4"/>
      <c r="O83" s="23"/>
      <c r="P83" s="23"/>
      <c r="Q83" s="4"/>
      <c r="R83" s="4"/>
      <c r="S83" s="4"/>
    </row>
    <row r="84" spans="1:19" x14ac:dyDescent="0.25">
      <c r="A84" s="876"/>
      <c r="B84" s="4"/>
      <c r="C84" s="23"/>
      <c r="D84" s="23"/>
      <c r="E84" s="23"/>
      <c r="F84" s="23"/>
      <c r="G84" s="23"/>
      <c r="H84" s="23"/>
      <c r="I84" s="23"/>
      <c r="J84" s="23"/>
      <c r="K84" s="23"/>
      <c r="L84" s="23"/>
      <c r="M84" s="23"/>
      <c r="N84" s="4"/>
      <c r="O84" s="23"/>
      <c r="P84" s="23"/>
      <c r="Q84" s="4"/>
      <c r="R84" s="4"/>
      <c r="S84" s="4"/>
    </row>
    <row r="85" spans="1:19" x14ac:dyDescent="0.25">
      <c r="A85" s="876"/>
      <c r="B85" s="4"/>
      <c r="C85" s="23"/>
      <c r="D85" s="23"/>
      <c r="E85" s="23"/>
      <c r="F85" s="23"/>
      <c r="G85" s="23"/>
      <c r="H85" s="23"/>
      <c r="I85" s="23"/>
      <c r="J85" s="23"/>
      <c r="K85" s="23"/>
      <c r="L85" s="23"/>
      <c r="M85" s="23"/>
      <c r="N85" s="4"/>
      <c r="O85" s="23"/>
      <c r="P85" s="23"/>
      <c r="Q85" s="4"/>
      <c r="R85" s="4"/>
      <c r="S85" s="4"/>
    </row>
    <row r="86" spans="1:19" x14ac:dyDescent="0.25">
      <c r="A86" s="876"/>
      <c r="B86" s="4"/>
      <c r="C86" s="23"/>
      <c r="D86" s="23"/>
      <c r="E86" s="23"/>
      <c r="F86" s="23"/>
      <c r="G86" s="23"/>
      <c r="H86" s="23"/>
      <c r="I86" s="23"/>
      <c r="J86" s="23"/>
      <c r="K86" s="23"/>
      <c r="L86" s="23"/>
      <c r="M86" s="23"/>
      <c r="N86" s="4"/>
      <c r="O86" s="23"/>
      <c r="P86" s="23"/>
      <c r="Q86" s="4"/>
      <c r="R86" s="4"/>
      <c r="S86" s="4"/>
    </row>
    <row r="87" spans="1:19" x14ac:dyDescent="0.25">
      <c r="A87" s="876"/>
      <c r="B87" s="4"/>
      <c r="C87" s="23"/>
      <c r="D87" s="23"/>
      <c r="E87" s="23"/>
      <c r="F87" s="23"/>
      <c r="G87" s="23"/>
      <c r="H87" s="23"/>
      <c r="I87" s="23"/>
      <c r="J87" s="23"/>
      <c r="K87" s="23"/>
      <c r="L87" s="23"/>
      <c r="M87" s="23"/>
      <c r="N87" s="4"/>
      <c r="O87" s="23"/>
      <c r="P87" s="23"/>
      <c r="Q87" s="4"/>
      <c r="R87" s="4"/>
      <c r="S87" s="4"/>
    </row>
    <row r="88" spans="1:19" x14ac:dyDescent="0.25">
      <c r="A88" s="876"/>
      <c r="B88" s="4"/>
      <c r="C88" s="23"/>
      <c r="D88" s="23"/>
      <c r="E88" s="23"/>
      <c r="F88" s="23"/>
      <c r="G88" s="23"/>
      <c r="H88" s="23"/>
      <c r="I88" s="23"/>
      <c r="J88" s="23"/>
      <c r="K88" s="23"/>
      <c r="L88" s="23"/>
      <c r="M88" s="23"/>
      <c r="N88" s="4"/>
      <c r="O88" s="23"/>
      <c r="P88" s="23"/>
      <c r="Q88" s="4"/>
      <c r="R88" s="4"/>
      <c r="S88" s="4"/>
    </row>
    <row r="89" spans="1:19" x14ac:dyDescent="0.25">
      <c r="A89" s="876"/>
      <c r="B89" s="4"/>
      <c r="C89" s="23"/>
      <c r="D89" s="23"/>
      <c r="E89" s="23"/>
      <c r="F89" s="23"/>
      <c r="G89" s="23"/>
      <c r="H89" s="23"/>
      <c r="I89" s="23"/>
      <c r="J89" s="23"/>
      <c r="K89" s="23"/>
      <c r="L89" s="23"/>
      <c r="M89" s="23"/>
      <c r="N89" s="4"/>
      <c r="O89" s="23"/>
      <c r="P89" s="23"/>
      <c r="Q89" s="4"/>
      <c r="R89" s="4"/>
      <c r="S89" s="4"/>
    </row>
    <row r="90" spans="1:19" x14ac:dyDescent="0.25">
      <c r="A90" s="876"/>
      <c r="B90" s="4"/>
      <c r="C90" s="23"/>
      <c r="D90" s="23"/>
      <c r="E90" s="23"/>
      <c r="F90" s="23"/>
      <c r="G90" s="23"/>
      <c r="H90" s="23"/>
      <c r="I90" s="23"/>
      <c r="J90" s="23"/>
      <c r="K90" s="23"/>
      <c r="L90" s="23"/>
      <c r="M90" s="23"/>
      <c r="N90" s="4"/>
      <c r="O90" s="23"/>
      <c r="P90" s="23"/>
      <c r="Q90" s="4"/>
      <c r="R90" s="4"/>
      <c r="S90" s="4"/>
    </row>
    <row r="91" spans="1:19" x14ac:dyDescent="0.25">
      <c r="A91" s="876"/>
      <c r="B91" s="4"/>
      <c r="C91" s="23"/>
      <c r="D91" s="23"/>
      <c r="E91" s="23"/>
      <c r="F91" s="23"/>
      <c r="G91" s="23"/>
      <c r="H91" s="23"/>
      <c r="I91" s="23"/>
      <c r="J91" s="23"/>
      <c r="K91" s="23"/>
      <c r="L91" s="23"/>
      <c r="M91" s="23"/>
      <c r="N91" s="4"/>
      <c r="O91" s="23"/>
      <c r="P91" s="23"/>
      <c r="Q91" s="4"/>
      <c r="R91" s="4"/>
      <c r="S91" s="4"/>
    </row>
    <row r="92" spans="1:19" x14ac:dyDescent="0.25">
      <c r="A92" s="876"/>
      <c r="B92" s="4"/>
      <c r="C92" s="23"/>
      <c r="D92" s="23"/>
      <c r="E92" s="23"/>
      <c r="F92" s="23"/>
      <c r="G92" s="23"/>
      <c r="H92" s="23"/>
      <c r="I92" s="23"/>
      <c r="J92" s="23"/>
      <c r="K92" s="23"/>
      <c r="L92" s="23"/>
      <c r="M92" s="23"/>
      <c r="N92" s="4"/>
      <c r="O92" s="23"/>
      <c r="P92" s="23"/>
      <c r="Q92" s="4"/>
      <c r="R92" s="4"/>
      <c r="S92" s="4"/>
    </row>
    <row r="93" spans="1:19" x14ac:dyDescent="0.25">
      <c r="A93" s="876"/>
      <c r="B93" s="4"/>
      <c r="C93" s="23"/>
      <c r="D93" s="23"/>
      <c r="E93" s="23"/>
      <c r="F93" s="23"/>
      <c r="G93" s="23"/>
      <c r="H93" s="23"/>
      <c r="I93" s="23"/>
      <c r="J93" s="23"/>
      <c r="K93" s="23"/>
      <c r="L93" s="23"/>
      <c r="M93" s="23"/>
      <c r="N93" s="4"/>
      <c r="O93" s="23"/>
      <c r="P93" s="23"/>
      <c r="Q93" s="4"/>
      <c r="R93" s="4"/>
      <c r="S93" s="4"/>
    </row>
    <row r="94" spans="1:19" x14ac:dyDescent="0.25">
      <c r="A94" s="876"/>
      <c r="B94" s="4"/>
      <c r="C94" s="23"/>
      <c r="D94" s="23"/>
      <c r="E94" s="23"/>
      <c r="F94" s="23"/>
      <c r="G94" s="23"/>
      <c r="H94" s="23"/>
      <c r="I94" s="23"/>
      <c r="J94" s="23"/>
      <c r="K94" s="23"/>
      <c r="L94" s="23"/>
      <c r="M94" s="23"/>
      <c r="N94" s="4"/>
      <c r="O94" s="23"/>
      <c r="P94" s="23"/>
      <c r="Q94" s="4"/>
      <c r="R94" s="4"/>
      <c r="S94" s="4"/>
    </row>
    <row r="95" spans="1:19" x14ac:dyDescent="0.25">
      <c r="A95" s="876"/>
      <c r="B95" s="4"/>
      <c r="C95" s="23"/>
      <c r="D95" s="23"/>
      <c r="E95" s="23"/>
      <c r="F95" s="23"/>
      <c r="G95" s="23"/>
      <c r="H95" s="23"/>
      <c r="I95" s="23"/>
      <c r="J95" s="23"/>
      <c r="K95" s="23"/>
      <c r="L95" s="23"/>
      <c r="M95" s="23"/>
      <c r="N95" s="4"/>
      <c r="O95" s="23"/>
      <c r="P95" s="23"/>
      <c r="Q95" s="4"/>
      <c r="R95" s="4"/>
      <c r="S95" s="4"/>
    </row>
    <row r="96" spans="1:19" x14ac:dyDescent="0.25">
      <c r="A96" s="876"/>
      <c r="B96" s="4"/>
      <c r="C96" s="23"/>
      <c r="D96" s="23"/>
      <c r="E96" s="23"/>
      <c r="F96" s="23"/>
      <c r="G96" s="23"/>
      <c r="H96" s="23"/>
      <c r="I96" s="23"/>
      <c r="J96" s="23"/>
      <c r="K96" s="23"/>
      <c r="L96" s="23"/>
      <c r="M96" s="23"/>
      <c r="N96" s="4"/>
      <c r="O96" s="23"/>
      <c r="P96" s="23"/>
      <c r="Q96" s="4"/>
      <c r="R96" s="4"/>
      <c r="S96" s="4"/>
    </row>
    <row r="97" spans="1:19" x14ac:dyDescent="0.25">
      <c r="A97" s="876"/>
      <c r="B97" s="4"/>
      <c r="C97" s="23"/>
      <c r="D97" s="23"/>
      <c r="E97" s="23"/>
      <c r="F97" s="23"/>
      <c r="G97" s="23"/>
      <c r="H97" s="23"/>
      <c r="I97" s="23"/>
      <c r="J97" s="23"/>
      <c r="K97" s="23"/>
      <c r="L97" s="23"/>
      <c r="M97" s="23"/>
      <c r="N97" s="4"/>
      <c r="O97" s="23"/>
      <c r="P97" s="23"/>
      <c r="Q97" s="4"/>
      <c r="R97" s="4"/>
      <c r="S97" s="4"/>
    </row>
    <row r="98" spans="1:19" x14ac:dyDescent="0.25">
      <c r="A98" s="876"/>
      <c r="B98" s="4"/>
      <c r="C98" s="23"/>
      <c r="D98" s="23"/>
      <c r="E98" s="23"/>
      <c r="F98" s="23"/>
      <c r="G98" s="23"/>
      <c r="H98" s="23"/>
      <c r="I98" s="23"/>
      <c r="J98" s="23"/>
      <c r="K98" s="23"/>
      <c r="L98" s="23"/>
      <c r="M98" s="23"/>
      <c r="N98" s="4"/>
      <c r="O98" s="23"/>
      <c r="P98" s="23"/>
      <c r="Q98" s="4"/>
      <c r="R98" s="4"/>
      <c r="S98" s="4"/>
    </row>
    <row r="99" spans="1:19" x14ac:dyDescent="0.25">
      <c r="A99" s="876"/>
      <c r="B99" s="4"/>
      <c r="C99" s="23"/>
      <c r="D99" s="23"/>
      <c r="E99" s="23"/>
      <c r="F99" s="23"/>
      <c r="G99" s="23"/>
      <c r="H99" s="23"/>
      <c r="I99" s="23"/>
      <c r="J99" s="23"/>
      <c r="K99" s="23"/>
      <c r="L99" s="23"/>
      <c r="M99" s="23"/>
      <c r="N99" s="4"/>
      <c r="O99" s="23"/>
      <c r="P99" s="23"/>
      <c r="Q99" s="4"/>
      <c r="R99" s="4"/>
      <c r="S99" s="4"/>
    </row>
    <row r="100" spans="1:19" x14ac:dyDescent="0.25">
      <c r="A100" s="876"/>
      <c r="B100" s="4"/>
      <c r="C100" s="23"/>
      <c r="D100" s="23"/>
      <c r="E100" s="23"/>
      <c r="F100" s="23"/>
      <c r="G100" s="23"/>
      <c r="H100" s="23"/>
      <c r="I100" s="23"/>
      <c r="J100" s="23"/>
      <c r="K100" s="23"/>
      <c r="L100" s="23"/>
      <c r="M100" s="23"/>
      <c r="N100" s="4"/>
      <c r="O100" s="23"/>
      <c r="P100" s="23"/>
      <c r="Q100" s="4"/>
      <c r="R100" s="4"/>
      <c r="S100" s="4"/>
    </row>
    <row r="101" spans="1:19" x14ac:dyDescent="0.25">
      <c r="A101" s="876"/>
      <c r="B101" s="4"/>
      <c r="C101" s="23"/>
      <c r="D101" s="23"/>
      <c r="E101" s="23"/>
      <c r="F101" s="23"/>
      <c r="G101" s="23"/>
      <c r="H101" s="23"/>
      <c r="I101" s="23"/>
      <c r="J101" s="23"/>
      <c r="K101" s="23"/>
      <c r="L101" s="23"/>
      <c r="M101" s="23"/>
      <c r="N101" s="4"/>
      <c r="O101" s="23"/>
      <c r="P101" s="23"/>
      <c r="Q101" s="4"/>
      <c r="R101" s="4"/>
      <c r="S101" s="4"/>
    </row>
    <row r="102" spans="1:19" x14ac:dyDescent="0.25">
      <c r="A102" s="876"/>
      <c r="B102" s="4"/>
      <c r="C102" s="23"/>
      <c r="D102" s="23"/>
      <c r="E102" s="23"/>
      <c r="F102" s="23"/>
      <c r="G102" s="23"/>
      <c r="H102" s="23"/>
      <c r="I102" s="23"/>
      <c r="J102" s="23"/>
      <c r="K102" s="23"/>
      <c r="L102" s="23"/>
      <c r="M102" s="23"/>
      <c r="N102" s="4"/>
      <c r="O102" s="23"/>
      <c r="P102" s="23"/>
      <c r="Q102" s="4"/>
      <c r="R102" s="4"/>
      <c r="S102" s="4"/>
    </row>
    <row r="103" spans="1:19" x14ac:dyDescent="0.25">
      <c r="A103" s="876"/>
      <c r="B103" s="4"/>
      <c r="C103" s="23"/>
      <c r="D103" s="23"/>
      <c r="E103" s="23"/>
      <c r="F103" s="23"/>
      <c r="G103" s="23"/>
      <c r="H103" s="23"/>
      <c r="I103" s="23"/>
      <c r="J103" s="23"/>
      <c r="K103" s="23"/>
      <c r="L103" s="23"/>
      <c r="M103" s="23"/>
      <c r="N103" s="4"/>
      <c r="O103" s="23"/>
      <c r="P103" s="23"/>
      <c r="Q103" s="4"/>
      <c r="R103" s="4"/>
      <c r="S103" s="4"/>
    </row>
    <row r="104" spans="1:19" x14ac:dyDescent="0.25">
      <c r="A104" s="876"/>
      <c r="B104" s="4"/>
      <c r="C104" s="23"/>
      <c r="D104" s="23"/>
      <c r="E104" s="23"/>
      <c r="F104" s="23"/>
      <c r="G104" s="23"/>
      <c r="H104" s="23"/>
      <c r="I104" s="23"/>
      <c r="J104" s="23"/>
      <c r="K104" s="23"/>
      <c r="L104" s="23"/>
      <c r="M104" s="23"/>
      <c r="N104" s="4"/>
      <c r="O104" s="23"/>
      <c r="P104" s="23"/>
      <c r="Q104" s="4"/>
      <c r="R104" s="4"/>
      <c r="S104" s="4"/>
    </row>
    <row r="105" spans="1:19" x14ac:dyDescent="0.25">
      <c r="A105" s="876"/>
      <c r="B105" s="4"/>
      <c r="C105" s="23"/>
      <c r="D105" s="23"/>
      <c r="E105" s="23"/>
      <c r="F105" s="23"/>
      <c r="G105" s="23"/>
      <c r="H105" s="23"/>
      <c r="I105" s="23"/>
      <c r="J105" s="23"/>
      <c r="K105" s="23"/>
      <c r="L105" s="23"/>
      <c r="M105" s="23"/>
      <c r="N105" s="4"/>
      <c r="O105" s="23"/>
      <c r="P105" s="23"/>
      <c r="Q105" s="4"/>
      <c r="R105" s="4"/>
      <c r="S105" s="4"/>
    </row>
    <row r="106" spans="1:19" x14ac:dyDescent="0.25">
      <c r="A106" s="876"/>
      <c r="B106" s="4"/>
      <c r="C106" s="23"/>
      <c r="D106" s="23"/>
      <c r="E106" s="23"/>
      <c r="F106" s="23"/>
      <c r="G106" s="23"/>
      <c r="H106" s="23"/>
      <c r="I106" s="23"/>
      <c r="J106" s="23"/>
      <c r="K106" s="23"/>
      <c r="L106" s="23"/>
      <c r="M106" s="23"/>
      <c r="N106" s="4"/>
      <c r="O106" s="23"/>
      <c r="P106" s="23"/>
      <c r="Q106" s="4"/>
      <c r="R106" s="4"/>
      <c r="S106" s="4"/>
    </row>
    <row r="107" spans="1:19" x14ac:dyDescent="0.25">
      <c r="A107" s="876"/>
      <c r="B107" s="4"/>
      <c r="C107" s="23"/>
      <c r="D107" s="23"/>
      <c r="E107" s="23"/>
      <c r="F107" s="23"/>
      <c r="G107" s="23"/>
      <c r="H107" s="23"/>
      <c r="I107" s="23"/>
      <c r="J107" s="23"/>
      <c r="K107" s="23"/>
      <c r="L107" s="23"/>
      <c r="M107" s="23"/>
      <c r="N107" s="4"/>
      <c r="O107" s="23"/>
      <c r="P107" s="23"/>
      <c r="Q107" s="4"/>
      <c r="R107" s="4"/>
      <c r="S107" s="4"/>
    </row>
    <row r="108" spans="1:19" x14ac:dyDescent="0.25">
      <c r="A108" s="876"/>
      <c r="B108" s="4"/>
      <c r="C108" s="23"/>
      <c r="D108" s="23"/>
      <c r="E108" s="23"/>
      <c r="F108" s="23"/>
      <c r="G108" s="23"/>
      <c r="H108" s="23"/>
      <c r="I108" s="23"/>
      <c r="J108" s="23"/>
      <c r="K108" s="23"/>
      <c r="L108" s="23"/>
      <c r="M108" s="23"/>
      <c r="N108" s="4"/>
      <c r="O108" s="23"/>
      <c r="P108" s="23"/>
      <c r="Q108" s="4"/>
      <c r="R108" s="4"/>
      <c r="S108" s="4"/>
    </row>
    <row r="109" spans="1:19" x14ac:dyDescent="0.25">
      <c r="A109" s="876"/>
      <c r="B109" s="4"/>
      <c r="C109" s="23"/>
      <c r="D109" s="23"/>
      <c r="E109" s="23"/>
      <c r="F109" s="23"/>
      <c r="G109" s="23"/>
      <c r="H109" s="23"/>
      <c r="I109" s="23"/>
      <c r="J109" s="23"/>
      <c r="K109" s="23"/>
      <c r="L109" s="23"/>
      <c r="M109" s="23"/>
      <c r="N109" s="4"/>
      <c r="O109" s="23"/>
      <c r="P109" s="23"/>
      <c r="Q109" s="4"/>
      <c r="R109" s="4"/>
      <c r="S109" s="4"/>
    </row>
    <row r="110" spans="1:19" x14ac:dyDescent="0.25">
      <c r="A110" s="876"/>
      <c r="B110" s="4"/>
      <c r="C110" s="23"/>
      <c r="D110" s="23"/>
      <c r="E110" s="23"/>
      <c r="F110" s="23"/>
      <c r="G110" s="23"/>
      <c r="H110" s="23"/>
      <c r="I110" s="23"/>
      <c r="J110" s="23"/>
      <c r="K110" s="23"/>
      <c r="L110" s="23"/>
      <c r="M110" s="23"/>
      <c r="N110" s="4"/>
      <c r="O110" s="23"/>
      <c r="P110" s="23"/>
      <c r="Q110" s="4"/>
      <c r="R110" s="4"/>
      <c r="S110" s="4"/>
    </row>
    <row r="111" spans="1:19" x14ac:dyDescent="0.25">
      <c r="A111" s="876"/>
      <c r="B111" s="4"/>
      <c r="C111" s="23"/>
      <c r="D111" s="23"/>
      <c r="E111" s="23"/>
      <c r="F111" s="23"/>
      <c r="G111" s="23"/>
      <c r="H111" s="23"/>
      <c r="I111" s="23"/>
      <c r="J111" s="23"/>
      <c r="K111" s="23"/>
      <c r="L111" s="23"/>
      <c r="M111" s="23"/>
      <c r="N111" s="4"/>
      <c r="O111" s="23"/>
      <c r="P111" s="23"/>
      <c r="Q111" s="4"/>
      <c r="R111" s="4"/>
      <c r="S111" s="4"/>
    </row>
    <row r="112" spans="1:19" x14ac:dyDescent="0.25">
      <c r="A112" s="876"/>
      <c r="B112" s="4"/>
      <c r="C112" s="23"/>
      <c r="D112" s="23"/>
      <c r="E112" s="23"/>
      <c r="F112" s="23"/>
      <c r="G112" s="23"/>
      <c r="H112" s="23"/>
      <c r="I112" s="23"/>
      <c r="J112" s="23"/>
      <c r="K112" s="23"/>
      <c r="L112" s="23"/>
      <c r="M112" s="23"/>
      <c r="N112" s="4"/>
      <c r="O112" s="23"/>
      <c r="P112" s="23"/>
      <c r="Q112" s="4"/>
      <c r="R112" s="4"/>
      <c r="S112" s="4"/>
    </row>
    <row r="113" spans="1:19" x14ac:dyDescent="0.25">
      <c r="A113" s="876"/>
      <c r="B113" s="4"/>
      <c r="C113" s="23"/>
      <c r="D113" s="23"/>
      <c r="E113" s="23"/>
      <c r="F113" s="23"/>
      <c r="G113" s="23"/>
      <c r="H113" s="23"/>
      <c r="I113" s="23"/>
      <c r="J113" s="23"/>
      <c r="K113" s="23"/>
      <c r="L113" s="23"/>
      <c r="M113" s="23"/>
      <c r="N113" s="4"/>
      <c r="O113" s="23"/>
      <c r="P113" s="23"/>
      <c r="Q113" s="4"/>
      <c r="R113" s="4"/>
      <c r="S113" s="4"/>
    </row>
    <row r="114" spans="1:19" x14ac:dyDescent="0.25">
      <c r="A114" s="876"/>
      <c r="B114" s="4"/>
      <c r="C114" s="23"/>
      <c r="D114" s="23"/>
      <c r="E114" s="23"/>
      <c r="F114" s="23"/>
      <c r="G114" s="23"/>
      <c r="H114" s="23"/>
      <c r="I114" s="23"/>
      <c r="J114" s="23"/>
      <c r="K114" s="23"/>
      <c r="L114" s="23"/>
      <c r="M114" s="23"/>
      <c r="N114" s="4"/>
      <c r="O114" s="23"/>
      <c r="P114" s="23"/>
      <c r="Q114" s="4"/>
      <c r="R114" s="4"/>
      <c r="S114" s="4"/>
    </row>
    <row r="115" spans="1:19" x14ac:dyDescent="0.25">
      <c r="A115" s="876"/>
      <c r="B115" s="4"/>
      <c r="C115" s="23"/>
      <c r="D115" s="23"/>
      <c r="E115" s="23"/>
      <c r="F115" s="23"/>
      <c r="G115" s="23"/>
      <c r="H115" s="23"/>
      <c r="I115" s="23"/>
      <c r="J115" s="23"/>
      <c r="K115" s="23"/>
      <c r="L115" s="23"/>
      <c r="M115" s="23"/>
      <c r="N115" s="4"/>
      <c r="O115" s="23"/>
      <c r="P115" s="23"/>
      <c r="Q115" s="4"/>
      <c r="R115" s="4"/>
      <c r="S115" s="4"/>
    </row>
    <row r="116" spans="1:19" x14ac:dyDescent="0.25">
      <c r="A116" s="876"/>
      <c r="B116" s="4"/>
      <c r="C116" s="23"/>
      <c r="D116" s="23"/>
      <c r="E116" s="23"/>
      <c r="F116" s="23"/>
      <c r="G116" s="23"/>
      <c r="H116" s="23"/>
      <c r="I116" s="23"/>
      <c r="J116" s="23"/>
      <c r="K116" s="23"/>
      <c r="L116" s="23"/>
      <c r="M116" s="23"/>
      <c r="N116" s="4"/>
      <c r="O116" s="23"/>
      <c r="P116" s="23"/>
      <c r="Q116" s="4"/>
      <c r="R116" s="4"/>
      <c r="S116" s="4"/>
    </row>
    <row r="117" spans="1:19" x14ac:dyDescent="0.25">
      <c r="A117" s="876"/>
      <c r="B117" s="4"/>
      <c r="C117" s="23"/>
      <c r="D117" s="23"/>
      <c r="E117" s="23"/>
      <c r="F117" s="23"/>
      <c r="G117" s="23"/>
      <c r="H117" s="23"/>
      <c r="I117" s="23"/>
      <c r="J117" s="23"/>
      <c r="K117" s="23"/>
      <c r="L117" s="23"/>
      <c r="M117" s="23"/>
      <c r="N117" s="4"/>
      <c r="O117" s="23"/>
      <c r="P117" s="23"/>
      <c r="Q117" s="4"/>
      <c r="R117" s="4"/>
      <c r="S117" s="4"/>
    </row>
    <row r="118" spans="1:19" x14ac:dyDescent="0.25">
      <c r="A118" s="876"/>
      <c r="B118" s="4"/>
      <c r="C118" s="23"/>
      <c r="D118" s="23"/>
      <c r="E118" s="23"/>
      <c r="F118" s="23"/>
      <c r="G118" s="23"/>
      <c r="H118" s="23"/>
      <c r="I118" s="23"/>
      <c r="J118" s="23"/>
      <c r="K118" s="23"/>
      <c r="L118" s="23"/>
      <c r="M118" s="23"/>
      <c r="N118" s="4"/>
      <c r="O118" s="23"/>
      <c r="P118" s="23"/>
      <c r="Q118" s="4"/>
      <c r="R118" s="4"/>
      <c r="S118" s="4"/>
    </row>
    <row r="119" spans="1:19" x14ac:dyDescent="0.25">
      <c r="A119" s="876"/>
      <c r="B119" s="4"/>
      <c r="C119" s="23"/>
      <c r="D119" s="23"/>
      <c r="E119" s="23"/>
      <c r="F119" s="23"/>
      <c r="G119" s="23"/>
      <c r="H119" s="23"/>
      <c r="I119" s="23"/>
      <c r="J119" s="23"/>
      <c r="K119" s="23"/>
      <c r="L119" s="23"/>
      <c r="M119" s="23"/>
      <c r="N119" s="4"/>
      <c r="O119" s="23"/>
      <c r="P119" s="23"/>
      <c r="Q119" s="4"/>
      <c r="R119" s="4"/>
      <c r="S119" s="4"/>
    </row>
    <row r="120" spans="1:19" x14ac:dyDescent="0.25">
      <c r="A120" s="876"/>
      <c r="B120" s="4"/>
      <c r="C120" s="23"/>
      <c r="D120" s="23"/>
      <c r="E120" s="23"/>
      <c r="F120" s="23"/>
      <c r="G120" s="23"/>
      <c r="H120" s="23"/>
      <c r="I120" s="23"/>
      <c r="J120" s="23"/>
      <c r="K120" s="23"/>
      <c r="L120" s="23"/>
      <c r="M120" s="23"/>
      <c r="N120" s="4"/>
      <c r="O120" s="23"/>
      <c r="P120" s="23"/>
      <c r="Q120" s="4"/>
      <c r="R120" s="4"/>
      <c r="S120" s="4"/>
    </row>
    <row r="121" spans="1:19" x14ac:dyDescent="0.25">
      <c r="A121" s="876"/>
      <c r="B121" s="4"/>
      <c r="C121" s="23"/>
      <c r="D121" s="23"/>
      <c r="E121" s="23"/>
      <c r="F121" s="23"/>
      <c r="G121" s="23"/>
      <c r="H121" s="23"/>
      <c r="I121" s="23"/>
      <c r="J121" s="23"/>
      <c r="K121" s="23"/>
      <c r="L121" s="23"/>
      <c r="M121" s="23"/>
      <c r="N121" s="4"/>
      <c r="O121" s="23"/>
      <c r="P121" s="23"/>
      <c r="Q121" s="4"/>
      <c r="R121" s="4"/>
      <c r="S121" s="4"/>
    </row>
    <row r="122" spans="1:19" x14ac:dyDescent="0.25">
      <c r="A122" s="876"/>
      <c r="B122" s="4"/>
      <c r="C122" s="23"/>
      <c r="D122" s="23"/>
      <c r="E122" s="23"/>
      <c r="F122" s="23"/>
      <c r="G122" s="23"/>
      <c r="H122" s="23"/>
      <c r="I122" s="23"/>
      <c r="J122" s="23"/>
      <c r="K122" s="23"/>
      <c r="L122" s="23"/>
      <c r="M122" s="23"/>
      <c r="N122" s="4"/>
      <c r="O122" s="23"/>
      <c r="P122" s="23"/>
      <c r="Q122" s="4"/>
      <c r="R122" s="4"/>
      <c r="S122" s="4"/>
    </row>
    <row r="123" spans="1:19" x14ac:dyDescent="0.25">
      <c r="A123" s="876"/>
      <c r="B123" s="4"/>
      <c r="C123" s="23"/>
      <c r="D123" s="23"/>
      <c r="E123" s="23"/>
      <c r="F123" s="23"/>
      <c r="G123" s="23"/>
      <c r="H123" s="23"/>
      <c r="I123" s="23"/>
      <c r="J123" s="23"/>
      <c r="K123" s="23"/>
      <c r="L123" s="23"/>
      <c r="M123" s="23"/>
      <c r="N123" s="4"/>
      <c r="O123" s="23"/>
      <c r="P123" s="23"/>
      <c r="Q123" s="4"/>
      <c r="R123" s="4"/>
      <c r="S123" s="4"/>
    </row>
    <row r="124" spans="1:19" x14ac:dyDescent="0.25">
      <c r="A124" s="876"/>
      <c r="B124" s="4"/>
      <c r="C124" s="23"/>
      <c r="D124" s="23"/>
      <c r="E124" s="23"/>
      <c r="F124" s="23"/>
      <c r="G124" s="23"/>
      <c r="H124" s="23"/>
      <c r="I124" s="23"/>
      <c r="J124" s="23"/>
      <c r="K124" s="23"/>
      <c r="L124" s="23"/>
      <c r="M124" s="23"/>
      <c r="N124" s="4"/>
      <c r="O124" s="23"/>
      <c r="P124" s="23"/>
      <c r="Q124" s="4"/>
      <c r="R124" s="4"/>
      <c r="S124" s="4"/>
    </row>
    <row r="125" spans="1:19" x14ac:dyDescent="0.25">
      <c r="A125" s="876"/>
      <c r="B125" s="4"/>
      <c r="C125" s="23"/>
      <c r="D125" s="23"/>
      <c r="E125" s="23"/>
      <c r="F125" s="23"/>
      <c r="G125" s="23"/>
      <c r="H125" s="23"/>
      <c r="I125" s="23"/>
      <c r="J125" s="23"/>
      <c r="K125" s="23"/>
      <c r="L125" s="23"/>
      <c r="M125" s="23"/>
      <c r="N125" s="4"/>
      <c r="O125" s="23"/>
      <c r="P125" s="23"/>
      <c r="Q125" s="4"/>
      <c r="R125" s="4"/>
      <c r="S125" s="4"/>
    </row>
    <row r="126" spans="1:19" x14ac:dyDescent="0.25">
      <c r="A126" s="876"/>
      <c r="B126" s="4"/>
      <c r="C126" s="23"/>
      <c r="D126" s="23"/>
      <c r="E126" s="23"/>
      <c r="F126" s="23"/>
      <c r="G126" s="23"/>
      <c r="H126" s="23"/>
      <c r="I126" s="23"/>
      <c r="J126" s="23"/>
      <c r="K126" s="23"/>
      <c r="L126" s="23"/>
      <c r="M126" s="23"/>
      <c r="N126" s="4"/>
      <c r="O126" s="23"/>
      <c r="P126" s="23"/>
      <c r="Q126" s="4"/>
      <c r="R126" s="4"/>
      <c r="S126" s="4"/>
    </row>
    <row r="127" spans="1:19" x14ac:dyDescent="0.25">
      <c r="A127" s="876"/>
      <c r="B127" s="4"/>
      <c r="C127" s="23"/>
      <c r="D127" s="23"/>
      <c r="E127" s="23"/>
      <c r="F127" s="23"/>
      <c r="G127" s="23"/>
      <c r="H127" s="23"/>
      <c r="I127" s="23"/>
      <c r="J127" s="23"/>
      <c r="K127" s="23"/>
      <c r="L127" s="23"/>
      <c r="M127" s="23"/>
      <c r="N127" s="4"/>
      <c r="O127" s="23"/>
      <c r="P127" s="23"/>
      <c r="Q127" s="4"/>
      <c r="R127" s="4"/>
      <c r="S127" s="4"/>
    </row>
    <row r="128" spans="1:19" x14ac:dyDescent="0.25">
      <c r="A128" s="876"/>
      <c r="B128" s="4"/>
      <c r="C128" s="23"/>
      <c r="D128" s="23"/>
      <c r="E128" s="23"/>
      <c r="F128" s="23"/>
      <c r="G128" s="23"/>
      <c r="H128" s="23"/>
      <c r="I128" s="23"/>
      <c r="J128" s="23"/>
      <c r="K128" s="23"/>
      <c r="L128" s="23"/>
      <c r="M128" s="23"/>
      <c r="N128" s="4"/>
      <c r="O128" s="23"/>
      <c r="P128" s="23"/>
      <c r="Q128" s="4"/>
      <c r="R128" s="4"/>
      <c r="S128" s="4"/>
    </row>
    <row r="129" spans="3:3" x14ac:dyDescent="0.25">
      <c r="C129" s="114"/>
    </row>
    <row r="130" spans="3:3" x14ac:dyDescent="0.25">
      <c r="C130" s="114"/>
    </row>
    <row r="131" spans="3:3" x14ac:dyDescent="0.25">
      <c r="C131" s="114"/>
    </row>
    <row r="132" spans="3:3" x14ac:dyDescent="0.25">
      <c r="C132" s="114"/>
    </row>
    <row r="133" spans="3:3" x14ac:dyDescent="0.25">
      <c r="C133" s="114"/>
    </row>
    <row r="134" spans="3:3" x14ac:dyDescent="0.25">
      <c r="C134" s="114"/>
    </row>
    <row r="135" spans="3:3" x14ac:dyDescent="0.25">
      <c r="C135" s="114"/>
    </row>
    <row r="136" spans="3:3" x14ac:dyDescent="0.25">
      <c r="C136" s="114"/>
    </row>
    <row r="137" spans="3:3" x14ac:dyDescent="0.25">
      <c r="C137" s="114"/>
    </row>
    <row r="138" spans="3:3" x14ac:dyDescent="0.25">
      <c r="C138" s="114"/>
    </row>
    <row r="139" spans="3:3" x14ac:dyDescent="0.25">
      <c r="C139" s="114"/>
    </row>
    <row r="140" spans="3:3" x14ac:dyDescent="0.25">
      <c r="C140" s="114"/>
    </row>
    <row r="141" spans="3:3" x14ac:dyDescent="0.25">
      <c r="C141" s="114"/>
    </row>
    <row r="142" spans="3:3" x14ac:dyDescent="0.25">
      <c r="C142" s="114"/>
    </row>
    <row r="143" spans="3:3" x14ac:dyDescent="0.25">
      <c r="C143" s="114"/>
    </row>
    <row r="144" spans="3:3" x14ac:dyDescent="0.25">
      <c r="C144" s="114"/>
    </row>
    <row r="145" spans="3:3" x14ac:dyDescent="0.25">
      <c r="C145" s="114"/>
    </row>
    <row r="146" spans="3:3" x14ac:dyDescent="0.25">
      <c r="C146" s="114"/>
    </row>
    <row r="147" spans="3:3" x14ac:dyDescent="0.25">
      <c r="C147" s="114"/>
    </row>
    <row r="148" spans="3:3" x14ac:dyDescent="0.25">
      <c r="C148" s="114"/>
    </row>
    <row r="149" spans="3:3" x14ac:dyDescent="0.25">
      <c r="C149" s="114"/>
    </row>
    <row r="150" spans="3:3" x14ac:dyDescent="0.25">
      <c r="C150" s="114"/>
    </row>
    <row r="151" spans="3:3" x14ac:dyDescent="0.25">
      <c r="C151" s="114"/>
    </row>
    <row r="152" spans="3:3" x14ac:dyDescent="0.25">
      <c r="C152" s="114"/>
    </row>
    <row r="153" spans="3:3" x14ac:dyDescent="0.25">
      <c r="C153" s="114"/>
    </row>
    <row r="154" spans="3:3" x14ac:dyDescent="0.25">
      <c r="C154" s="114"/>
    </row>
    <row r="155" spans="3:3" x14ac:dyDescent="0.25">
      <c r="C155" s="114"/>
    </row>
    <row r="156" spans="3:3" x14ac:dyDescent="0.25">
      <c r="C156" s="114"/>
    </row>
    <row r="157" spans="3:3" x14ac:dyDescent="0.25">
      <c r="C157" s="114"/>
    </row>
    <row r="158" spans="3:3" x14ac:dyDescent="0.25">
      <c r="C158" s="114"/>
    </row>
    <row r="159" spans="3:3" x14ac:dyDescent="0.25">
      <c r="C159" s="114"/>
    </row>
    <row r="160" spans="3:3" x14ac:dyDescent="0.25">
      <c r="C160" s="114"/>
    </row>
    <row r="161" spans="3:3" x14ac:dyDescent="0.25">
      <c r="C161" s="114"/>
    </row>
    <row r="162" spans="3:3" x14ac:dyDescent="0.25">
      <c r="C162" s="114"/>
    </row>
    <row r="163" spans="3:3" x14ac:dyDescent="0.25">
      <c r="C163" s="114"/>
    </row>
    <row r="164" spans="3:3" x14ac:dyDescent="0.25">
      <c r="C164" s="114"/>
    </row>
    <row r="165" spans="3:3" x14ac:dyDescent="0.25">
      <c r="C165" s="114"/>
    </row>
    <row r="166" spans="3:3" x14ac:dyDescent="0.25">
      <c r="C166" s="114"/>
    </row>
    <row r="167" spans="3:3" x14ac:dyDescent="0.25">
      <c r="C167" s="114"/>
    </row>
    <row r="168" spans="3:3" x14ac:dyDescent="0.25">
      <c r="C168" s="114"/>
    </row>
    <row r="169" spans="3:3" x14ac:dyDescent="0.25">
      <c r="C169" s="114"/>
    </row>
    <row r="170" spans="3:3" x14ac:dyDescent="0.25">
      <c r="C170" s="114"/>
    </row>
    <row r="171" spans="3:3" x14ac:dyDescent="0.25">
      <c r="C171" s="114"/>
    </row>
    <row r="172" spans="3:3" x14ac:dyDescent="0.25">
      <c r="C172" s="114"/>
    </row>
    <row r="173" spans="3:3" x14ac:dyDescent="0.25">
      <c r="C173" s="114"/>
    </row>
    <row r="174" spans="3:3" x14ac:dyDescent="0.25">
      <c r="C174" s="114"/>
    </row>
    <row r="175" spans="3:3" x14ac:dyDescent="0.25">
      <c r="C175" s="114"/>
    </row>
    <row r="176" spans="3:3" x14ac:dyDescent="0.25">
      <c r="C176" s="114"/>
    </row>
    <row r="177" spans="3:3" x14ac:dyDescent="0.25">
      <c r="C177" s="114"/>
    </row>
    <row r="178" spans="3:3" x14ac:dyDescent="0.25">
      <c r="C178" s="114"/>
    </row>
    <row r="179" spans="3:3" x14ac:dyDescent="0.25">
      <c r="C179" s="114"/>
    </row>
    <row r="180" spans="3:3" x14ac:dyDescent="0.25">
      <c r="C180" s="114"/>
    </row>
  </sheetData>
  <phoneticPr fontId="0" type="noConversion"/>
  <hyperlinks>
    <hyperlink ref="A1" location="'Working Budget with funding det'!A1" display="Main " xr:uid="{00000000-0004-0000-1C00-000000000000}"/>
    <hyperlink ref="B1" location="'Table of Contents'!A1" display="TOC" xr:uid="{00000000-0004-0000-1C00-000001000000}"/>
  </hyperlinks>
  <pageMargins left="0.75" right="0.75" top="1" bottom="1" header="0.5" footer="0.5"/>
  <pageSetup orientation="landscape" horizontalDpi="300" verticalDpi="300" r:id="rId1"/>
  <headerFooter alignWithMargins="0">
    <oddFooter>&amp;L&amp;D     &amp;T&amp;C&amp;F&amp;R&amp;A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92D050"/>
    <pageSetUpPr fitToPage="1"/>
  </sheetPr>
  <dimension ref="A1:T150"/>
  <sheetViews>
    <sheetView workbookViewId="0">
      <selection activeCell="P1" sqref="P1:P1048576"/>
    </sheetView>
  </sheetViews>
  <sheetFormatPr defaultRowHeight="13.2" x14ac:dyDescent="0.25"/>
  <cols>
    <col min="1" max="1" width="9.44140625" style="873" bestFit="1" customWidth="1"/>
    <col min="2" max="2" width="36.6640625" customWidth="1"/>
    <col min="3" max="3" width="14.44140625" style="1" hidden="1" customWidth="1"/>
    <col min="4" max="10" width="14.44140625" style="114" hidden="1" customWidth="1"/>
    <col min="11" max="13" width="14.44140625" style="114" customWidth="1"/>
    <col min="14" max="14" width="14.44140625" customWidth="1"/>
    <col min="15" max="16" width="14.44140625" style="1" customWidth="1"/>
    <col min="17" max="19" width="14.44140625" customWidth="1"/>
    <col min="20" max="20" width="14.6640625" style="2" customWidth="1"/>
  </cols>
  <sheetData>
    <row r="1" spans="1:19" x14ac:dyDescent="0.25">
      <c r="A1" s="862" t="s">
        <v>1021</v>
      </c>
      <c r="B1" s="371" t="s">
        <v>1348</v>
      </c>
      <c r="P1"/>
    </row>
    <row r="2" spans="1:19" ht="13.8" x14ac:dyDescent="0.25">
      <c r="A2" s="863" t="s">
        <v>261</v>
      </c>
      <c r="B2" s="45"/>
      <c r="E2" s="141"/>
      <c r="I2" s="141" t="s">
        <v>257</v>
      </c>
      <c r="J2" s="141"/>
      <c r="K2" s="141"/>
      <c r="L2" s="141"/>
      <c r="M2" s="141"/>
      <c r="N2" s="61" t="s">
        <v>367</v>
      </c>
      <c r="P2" s="46" t="s">
        <v>512</v>
      </c>
    </row>
    <row r="3" spans="1:19" ht="13.8" thickBot="1" x14ac:dyDescent="0.3">
      <c r="A3" s="864"/>
      <c r="B3" s="4"/>
      <c r="C3" s="23"/>
      <c r="D3" s="23"/>
      <c r="E3" s="23"/>
      <c r="F3" s="23"/>
      <c r="G3" s="23"/>
      <c r="H3" s="23"/>
      <c r="I3" s="23"/>
      <c r="J3" s="23"/>
      <c r="K3" s="23"/>
      <c r="L3" s="23"/>
      <c r="M3" s="23"/>
      <c r="N3" s="4"/>
      <c r="O3" s="23"/>
      <c r="P3" s="4"/>
      <c r="S3" s="4"/>
    </row>
    <row r="4" spans="1:19" ht="13.8" thickTop="1" x14ac:dyDescent="0.25">
      <c r="A4" s="865"/>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t="s">
        <v>910</v>
      </c>
    </row>
    <row r="5" spans="1:19" x14ac:dyDescent="0.25">
      <c r="A5" s="866"/>
      <c r="B5" s="209"/>
      <c r="C5" s="127"/>
      <c r="D5" s="87"/>
      <c r="E5" s="113"/>
      <c r="F5" s="87"/>
      <c r="G5" s="87"/>
      <c r="H5" s="113"/>
      <c r="I5" s="290"/>
      <c r="J5" s="290"/>
      <c r="K5" s="290"/>
      <c r="L5" s="290"/>
      <c r="M5" s="290"/>
      <c r="N5" s="113" t="s">
        <v>515</v>
      </c>
      <c r="O5" s="88" t="s">
        <v>7</v>
      </c>
      <c r="P5" s="203" t="s">
        <v>782</v>
      </c>
    </row>
    <row r="6" spans="1:19" x14ac:dyDescent="0.25">
      <c r="A6" s="866"/>
      <c r="B6" s="209"/>
      <c r="C6" s="127"/>
      <c r="D6" s="127"/>
      <c r="E6" s="127"/>
      <c r="F6" s="127"/>
      <c r="G6" s="127"/>
      <c r="H6" s="127"/>
      <c r="I6" s="88"/>
      <c r="J6" s="88"/>
      <c r="K6" s="88"/>
      <c r="L6" s="88"/>
      <c r="M6" s="88"/>
      <c r="N6" s="127"/>
      <c r="O6" s="88" t="s">
        <v>8</v>
      </c>
      <c r="P6" s="47" t="s">
        <v>543</v>
      </c>
    </row>
    <row r="7" spans="1:19" ht="13.8" thickBot="1" x14ac:dyDescent="0.3">
      <c r="A7" s="867" t="s">
        <v>128</v>
      </c>
      <c r="B7" s="82"/>
      <c r="C7" s="307" t="s">
        <v>347</v>
      </c>
      <c r="D7" s="307" t="s">
        <v>722</v>
      </c>
      <c r="E7" s="9" t="s">
        <v>737</v>
      </c>
      <c r="F7" s="9" t="s">
        <v>789</v>
      </c>
      <c r="G7" s="9" t="s">
        <v>889</v>
      </c>
      <c r="H7" s="9" t="s">
        <v>1018</v>
      </c>
      <c r="I7" s="9" t="s">
        <v>1072</v>
      </c>
      <c r="J7" s="9" t="s">
        <v>907</v>
      </c>
      <c r="K7" s="9" t="s">
        <v>908</v>
      </c>
      <c r="L7" s="9" t="s">
        <v>908</v>
      </c>
      <c r="M7" s="9" t="s">
        <v>909</v>
      </c>
      <c r="N7" s="135">
        <v>44561</v>
      </c>
      <c r="O7" s="9" t="s">
        <v>9</v>
      </c>
      <c r="P7" s="9" t="s">
        <v>546</v>
      </c>
    </row>
    <row r="8" spans="1:19" ht="13.8" thickTop="1" x14ac:dyDescent="0.25">
      <c r="A8" s="868"/>
      <c r="B8" s="210"/>
      <c r="C8" s="132"/>
      <c r="D8" s="18"/>
      <c r="E8" s="18"/>
      <c r="F8" s="18"/>
      <c r="G8" s="18"/>
      <c r="H8" s="18"/>
      <c r="I8" s="18"/>
      <c r="J8" s="18"/>
      <c r="K8" s="19"/>
      <c r="L8" s="19"/>
      <c r="M8" s="19"/>
      <c r="N8" s="18"/>
      <c r="O8" s="19"/>
      <c r="P8" s="19"/>
    </row>
    <row r="9" spans="1:19" ht="13.8" thickBot="1" x14ac:dyDescent="0.3">
      <c r="A9" s="869">
        <v>5113</v>
      </c>
      <c r="B9" s="63" t="s">
        <v>1551</v>
      </c>
      <c r="C9" s="131">
        <v>5490</v>
      </c>
      <c r="D9" s="15">
        <v>5490</v>
      </c>
      <c r="E9" s="15">
        <v>5490</v>
      </c>
      <c r="F9" s="15">
        <v>5490</v>
      </c>
      <c r="G9" s="15">
        <v>5490</v>
      </c>
      <c r="H9" s="15">
        <v>5490</v>
      </c>
      <c r="I9" s="15">
        <v>5490</v>
      </c>
      <c r="J9" s="15">
        <v>5765</v>
      </c>
      <c r="K9" s="16">
        <v>5765</v>
      </c>
      <c r="L9" s="15">
        <v>5765</v>
      </c>
      <c r="M9" s="16">
        <v>5765</v>
      </c>
      <c r="N9" s="15">
        <v>2822.47</v>
      </c>
      <c r="O9" s="123">
        <v>5765</v>
      </c>
      <c r="P9" s="16"/>
    </row>
    <row r="10" spans="1:19" x14ac:dyDescent="0.25">
      <c r="A10" s="869"/>
      <c r="B10" s="721" t="s">
        <v>130</v>
      </c>
      <c r="C10" s="132">
        <f>SUM(C9:C9)</f>
        <v>5490</v>
      </c>
      <c r="D10" s="18">
        <f>SUM(D9:D9)</f>
        <v>5490</v>
      </c>
      <c r="E10" s="18">
        <f>SUM(E9:E9)</f>
        <v>5490</v>
      </c>
      <c r="F10" s="18">
        <f>SUM(F9)</f>
        <v>5490</v>
      </c>
      <c r="G10" s="18">
        <f>SUM(G9)</f>
        <v>5490</v>
      </c>
      <c r="H10" s="18">
        <f>SUM(H9)</f>
        <v>5490</v>
      </c>
      <c r="I10" s="18">
        <f>+I9</f>
        <v>5490</v>
      </c>
      <c r="J10" s="18">
        <f>+J9</f>
        <v>5765</v>
      </c>
      <c r="K10" s="19">
        <f>+K9</f>
        <v>5765</v>
      </c>
      <c r="L10" s="18">
        <f t="shared" ref="L10:M10" si="0">+L9</f>
        <v>5765</v>
      </c>
      <c r="M10" s="19">
        <f t="shared" si="0"/>
        <v>5765</v>
      </c>
      <c r="N10" s="18">
        <f>SUM(N9:N9)</f>
        <v>2822.47</v>
      </c>
      <c r="O10" s="19">
        <f>+O9</f>
        <v>5765</v>
      </c>
      <c r="P10" s="19">
        <f>+P9</f>
        <v>0</v>
      </c>
    </row>
    <row r="11" spans="1:19" x14ac:dyDescent="0.25">
      <c r="A11" s="869"/>
      <c r="B11" s="236"/>
      <c r="C11" s="130"/>
      <c r="D11" s="13"/>
      <c r="E11" s="13"/>
      <c r="F11" s="13"/>
      <c r="G11" s="13"/>
      <c r="H11" s="13"/>
      <c r="I11" s="13"/>
      <c r="J11" s="13"/>
      <c r="K11" s="14"/>
      <c r="L11" s="13"/>
      <c r="M11" s="14"/>
      <c r="N11" s="13"/>
      <c r="O11" s="14"/>
      <c r="P11" s="14"/>
    </row>
    <row r="12" spans="1:19" hidden="1" x14ac:dyDescent="0.25">
      <c r="A12" s="869">
        <v>5380</v>
      </c>
      <c r="B12" s="236" t="s">
        <v>763</v>
      </c>
      <c r="C12" s="250">
        <v>100</v>
      </c>
      <c r="D12" s="37">
        <v>100</v>
      </c>
      <c r="E12" s="37">
        <v>100</v>
      </c>
      <c r="F12" s="37">
        <v>150</v>
      </c>
      <c r="G12" s="37"/>
      <c r="H12" s="37"/>
      <c r="I12" s="37"/>
      <c r="J12" s="37"/>
      <c r="K12" s="38"/>
      <c r="L12" s="37"/>
      <c r="M12" s="38"/>
      <c r="N12" s="37"/>
      <c r="O12" s="38"/>
      <c r="P12" s="38"/>
    </row>
    <row r="13" spans="1:19" ht="13.8" thickBot="1" x14ac:dyDescent="0.3">
      <c r="A13" s="869">
        <v>5420</v>
      </c>
      <c r="B13" s="236" t="s">
        <v>669</v>
      </c>
      <c r="C13" s="131"/>
      <c r="D13" s="15"/>
      <c r="E13" s="15"/>
      <c r="F13" s="15"/>
      <c r="G13" s="15"/>
      <c r="H13" s="15"/>
      <c r="I13" s="15"/>
      <c r="J13" s="15"/>
      <c r="K13" s="16"/>
      <c r="L13" s="15"/>
      <c r="M13" s="16">
        <v>500</v>
      </c>
      <c r="N13" s="15"/>
      <c r="O13" s="16">
        <v>500</v>
      </c>
      <c r="P13" s="16"/>
    </row>
    <row r="14" spans="1:19" x14ac:dyDescent="0.25">
      <c r="A14" s="869"/>
      <c r="B14" s="721" t="s">
        <v>449</v>
      </c>
      <c r="C14" s="132">
        <f>SUM(C13:C13)</f>
        <v>0</v>
      </c>
      <c r="D14" s="18">
        <f t="shared" ref="D14:O14" si="1">SUM(D12:D13)</f>
        <v>100</v>
      </c>
      <c r="E14" s="18">
        <f t="shared" si="1"/>
        <v>100</v>
      </c>
      <c r="F14" s="18">
        <f>SUM(F12:F13)</f>
        <v>150</v>
      </c>
      <c r="G14" s="18">
        <f>SUM(G12:G13)</f>
        <v>0</v>
      </c>
      <c r="H14" s="18">
        <f>SUM(H12:H13)</f>
        <v>0</v>
      </c>
      <c r="I14" s="18">
        <f t="shared" si="1"/>
        <v>0</v>
      </c>
      <c r="J14" s="18">
        <f t="shared" ref="J14" si="2">SUM(J12:J13)</f>
        <v>0</v>
      </c>
      <c r="K14" s="19">
        <f t="shared" ref="K14:M14" si="3">SUM(K12:K13)</f>
        <v>0</v>
      </c>
      <c r="L14" s="18">
        <f t="shared" si="3"/>
        <v>0</v>
      </c>
      <c r="M14" s="19">
        <f t="shared" si="3"/>
        <v>500</v>
      </c>
      <c r="N14" s="18">
        <f t="shared" si="1"/>
        <v>0</v>
      </c>
      <c r="O14" s="19">
        <f t="shared" si="1"/>
        <v>500</v>
      </c>
      <c r="P14" s="19">
        <f>SUM(P12:P13)</f>
        <v>0</v>
      </c>
    </row>
    <row r="15" spans="1:19" x14ac:dyDescent="0.25">
      <c r="A15" s="869"/>
      <c r="B15" s="236"/>
      <c r="C15" s="130"/>
      <c r="D15" s="13"/>
      <c r="E15" s="13"/>
      <c r="F15" s="13"/>
      <c r="G15" s="13"/>
      <c r="H15" s="13"/>
      <c r="I15" s="13"/>
      <c r="J15" s="13"/>
      <c r="K15" s="14"/>
      <c r="L15" s="13"/>
      <c r="M15" s="14"/>
      <c r="N15" s="13"/>
      <c r="O15" s="14"/>
      <c r="P15" s="14"/>
    </row>
    <row r="16" spans="1:19" ht="13.8" thickBot="1" x14ac:dyDescent="0.3">
      <c r="A16" s="870"/>
      <c r="B16" s="722" t="s">
        <v>457</v>
      </c>
      <c r="C16" s="714">
        <f t="shared" ref="C16:O16" si="4">+C14+C10</f>
        <v>5490</v>
      </c>
      <c r="D16" s="21">
        <f t="shared" si="4"/>
        <v>5590</v>
      </c>
      <c r="E16" s="21">
        <f>+E14+E10</f>
        <v>5590</v>
      </c>
      <c r="F16" s="21">
        <f>+F14+F10</f>
        <v>5640</v>
      </c>
      <c r="G16" s="21">
        <f>+G14+G10</f>
        <v>5490</v>
      </c>
      <c r="H16" s="21">
        <f>+H14+H10</f>
        <v>5490</v>
      </c>
      <c r="I16" s="21">
        <f t="shared" si="4"/>
        <v>5490</v>
      </c>
      <c r="J16" s="21">
        <f t="shared" ref="J16" si="5">+J14+J10</f>
        <v>5765</v>
      </c>
      <c r="K16" s="22">
        <f t="shared" ref="K16:M16" si="6">+K14+K10</f>
        <v>5765</v>
      </c>
      <c r="L16" s="21">
        <f t="shared" si="6"/>
        <v>5765</v>
      </c>
      <c r="M16" s="22">
        <f t="shared" si="6"/>
        <v>6265</v>
      </c>
      <c r="N16" s="21">
        <f t="shared" si="4"/>
        <v>2822.47</v>
      </c>
      <c r="O16" s="22">
        <f t="shared" si="4"/>
        <v>6265</v>
      </c>
      <c r="P16" s="22">
        <f>+O16</f>
        <v>6265</v>
      </c>
    </row>
    <row r="17" spans="1:20" ht="13.8" thickTop="1" x14ac:dyDescent="0.25">
      <c r="A17" s="871">
        <v>5380</v>
      </c>
      <c r="B17" s="726" t="s">
        <v>943</v>
      </c>
      <c r="C17" s="365"/>
      <c r="D17" s="367"/>
      <c r="E17" s="367"/>
      <c r="F17" s="367"/>
      <c r="G17" s="367"/>
      <c r="H17" s="367"/>
      <c r="I17" s="367"/>
      <c r="J17" s="367"/>
      <c r="K17" s="367"/>
      <c r="L17" s="367"/>
      <c r="M17" s="367"/>
      <c r="N17" s="138"/>
      <c r="O17" s="365"/>
      <c r="P17" s="134"/>
      <c r="Q17" s="94"/>
      <c r="R17" s="94"/>
      <c r="S17" s="94"/>
      <c r="T17" s="54"/>
    </row>
    <row r="18" spans="1:20" x14ac:dyDescent="0.25">
      <c r="A18" s="871"/>
      <c r="B18" s="726"/>
      <c r="C18" s="134"/>
      <c r="D18" s="217"/>
      <c r="E18" s="217"/>
      <c r="F18" s="217"/>
      <c r="G18" s="217"/>
      <c r="H18" s="217"/>
      <c r="I18" s="217"/>
      <c r="J18" s="217"/>
      <c r="K18" s="217"/>
      <c r="L18" s="217"/>
      <c r="M18" s="217"/>
      <c r="N18" s="94"/>
      <c r="O18" s="134"/>
      <c r="P18" s="134"/>
      <c r="Q18" s="94"/>
      <c r="R18" s="94"/>
      <c r="S18" s="94"/>
      <c r="T18" s="54"/>
    </row>
    <row r="19" spans="1:20" ht="13.8" thickBot="1" x14ac:dyDescent="0.3">
      <c r="A19" s="871"/>
      <c r="B19" s="148"/>
      <c r="C19" s="111"/>
      <c r="D19" s="223"/>
      <c r="E19" s="223"/>
      <c r="F19" s="223"/>
      <c r="G19" s="223"/>
      <c r="H19" s="223"/>
      <c r="I19" s="223"/>
      <c r="J19" s="223"/>
      <c r="K19" s="223"/>
      <c r="L19" s="223"/>
      <c r="M19" s="223"/>
      <c r="N19" s="89"/>
      <c r="O19" s="111"/>
      <c r="P19" s="111"/>
      <c r="Q19" s="89"/>
      <c r="R19" s="89"/>
      <c r="S19" s="89"/>
      <c r="T19" s="54"/>
    </row>
    <row r="20" spans="1:20" ht="13.8" thickTop="1" x14ac:dyDescent="0.25">
      <c r="A20" s="872"/>
      <c r="B20" s="452"/>
      <c r="C20" s="453" t="s">
        <v>127</v>
      </c>
      <c r="D20" s="454" t="s">
        <v>127</v>
      </c>
      <c r="E20" s="454" t="s">
        <v>127</v>
      </c>
      <c r="K20" s="455" t="s">
        <v>547</v>
      </c>
      <c r="L20" s="456" t="s">
        <v>9</v>
      </c>
      <c r="M20" s="457" t="s">
        <v>1073</v>
      </c>
      <c r="N20" s="456" t="s">
        <v>686</v>
      </c>
      <c r="O20" s="458"/>
      <c r="P20" s="457"/>
      <c r="Q20" s="89"/>
      <c r="R20" s="89"/>
      <c r="S20" s="89"/>
      <c r="T20" s="54"/>
    </row>
    <row r="21" spans="1:20" x14ac:dyDescent="0.25">
      <c r="A21" s="1041" t="s">
        <v>128</v>
      </c>
      <c r="B21" s="536"/>
      <c r="C21" s="1042" t="s">
        <v>347</v>
      </c>
      <c r="D21" s="1042" t="s">
        <v>722</v>
      </c>
      <c r="E21" s="521" t="s">
        <v>737</v>
      </c>
      <c r="K21" s="520" t="s">
        <v>909</v>
      </c>
      <c r="L21" s="520" t="s">
        <v>910</v>
      </c>
      <c r="M21" s="521" t="s">
        <v>1075</v>
      </c>
      <c r="N21" s="522" t="s">
        <v>1075</v>
      </c>
      <c r="O21" s="523" t="s">
        <v>1074</v>
      </c>
      <c r="P21" s="520"/>
      <c r="Q21" s="27"/>
      <c r="R21" s="27"/>
      <c r="S21" s="27"/>
    </row>
    <row r="22" spans="1:20" x14ac:dyDescent="0.25">
      <c r="A22" s="1043"/>
      <c r="B22" s="501"/>
      <c r="C22" s="476"/>
      <c r="D22" s="476"/>
      <c r="E22" s="476"/>
      <c r="F22" s="674"/>
      <c r="G22" s="674"/>
      <c r="H22" s="674"/>
      <c r="K22" s="475"/>
      <c r="L22" s="525"/>
      <c r="M22" s="539"/>
      <c r="N22" s="526"/>
      <c r="O22" s="475"/>
      <c r="P22" s="475"/>
      <c r="Q22" s="27"/>
      <c r="R22" s="27"/>
      <c r="S22" s="27"/>
    </row>
    <row r="23" spans="1:20" x14ac:dyDescent="0.25">
      <c r="A23" s="1043">
        <v>5113</v>
      </c>
      <c r="B23" s="501" t="s">
        <v>108</v>
      </c>
      <c r="C23" s="476">
        <v>5490</v>
      </c>
      <c r="D23" s="476">
        <v>5490</v>
      </c>
      <c r="E23" s="476">
        <v>5490</v>
      </c>
      <c r="F23" s="674"/>
      <c r="G23" s="674"/>
      <c r="H23" s="674"/>
      <c r="K23" s="475">
        <f>+K9</f>
        <v>5765</v>
      </c>
      <c r="L23" s="497">
        <f>+O9</f>
        <v>5765</v>
      </c>
      <c r="M23" s="475">
        <f>+L23-K23</f>
        <v>0</v>
      </c>
      <c r="N23" s="834" t="str">
        <f>IF(K23+L23&lt;&gt;0,IF(K23&lt;&gt;0,IF(M23&lt;&gt;0,ROUND((+M23/K23),4),""),1),"")</f>
        <v/>
      </c>
      <c r="O23" s="475"/>
      <c r="P23" s="475"/>
      <c r="Q23" s="27"/>
      <c r="R23" s="27"/>
      <c r="S23" s="27"/>
    </row>
    <row r="24" spans="1:20" hidden="1" x14ac:dyDescent="0.25">
      <c r="A24" s="1043">
        <v>5380</v>
      </c>
      <c r="B24" s="501" t="s">
        <v>763</v>
      </c>
      <c r="C24" s="476">
        <v>100</v>
      </c>
      <c r="D24" s="476">
        <v>100</v>
      </c>
      <c r="E24" s="476">
        <v>100</v>
      </c>
      <c r="F24" s="674"/>
      <c r="G24" s="674"/>
      <c r="H24" s="674"/>
      <c r="K24" s="475"/>
      <c r="L24" s="476"/>
      <c r="M24" s="475"/>
      <c r="N24" s="476"/>
      <c r="O24" s="475"/>
      <c r="P24" s="475"/>
      <c r="Q24" s="27"/>
      <c r="R24" s="27"/>
      <c r="S24" s="27"/>
    </row>
    <row r="25" spans="1:20" hidden="1" x14ac:dyDescent="0.25">
      <c r="A25" s="1043">
        <v>5420</v>
      </c>
      <c r="B25" s="501" t="s">
        <v>669</v>
      </c>
      <c r="C25" s="476"/>
      <c r="D25" s="476"/>
      <c r="E25" s="476"/>
      <c r="F25" s="674"/>
      <c r="G25" s="674"/>
      <c r="H25" s="674"/>
      <c r="K25" s="475"/>
      <c r="L25" s="476"/>
      <c r="M25" s="475"/>
      <c r="N25" s="476"/>
      <c r="O25" s="475"/>
      <c r="P25" s="475"/>
      <c r="Q25" s="27"/>
      <c r="R25" s="27"/>
      <c r="S25" s="27"/>
    </row>
    <row r="26" spans="1:20" x14ac:dyDescent="0.25">
      <c r="A26" s="1043">
        <v>5420</v>
      </c>
      <c r="B26" s="501" t="s">
        <v>669</v>
      </c>
      <c r="C26" s="476"/>
      <c r="D26" s="476"/>
      <c r="E26" s="476"/>
      <c r="F26" s="674"/>
      <c r="G26" s="674"/>
      <c r="H26" s="674"/>
      <c r="K26" s="475">
        <f>+M13</f>
        <v>500</v>
      </c>
      <c r="L26" s="476">
        <f>+O13</f>
        <v>500</v>
      </c>
      <c r="M26" s="475"/>
      <c r="N26" s="476"/>
      <c r="O26" s="475"/>
      <c r="P26" s="475"/>
      <c r="Q26" s="27"/>
      <c r="R26" s="27"/>
      <c r="S26" s="27"/>
    </row>
    <row r="27" spans="1:20" x14ac:dyDescent="0.25">
      <c r="A27" s="864"/>
      <c r="B27" s="4"/>
      <c r="C27" s="23"/>
      <c r="D27" s="23"/>
      <c r="E27" s="23"/>
      <c r="F27" s="23"/>
      <c r="G27" s="23"/>
      <c r="K27" s="23"/>
      <c r="L27" s="23"/>
      <c r="M27" s="23"/>
      <c r="N27" s="27"/>
      <c r="O27" s="23"/>
      <c r="P27" s="23"/>
      <c r="Q27" s="27"/>
      <c r="R27" s="27"/>
      <c r="S27" s="27"/>
    </row>
    <row r="28" spans="1:20" x14ac:dyDescent="0.25">
      <c r="A28" s="864"/>
      <c r="B28" s="4" t="s">
        <v>1363</v>
      </c>
      <c r="C28" s="23"/>
      <c r="D28" s="23"/>
      <c r="E28" s="23"/>
      <c r="F28" s="23"/>
      <c r="G28" s="23"/>
      <c r="K28" s="742">
        <f>SUM(K23:K27)</f>
        <v>6265</v>
      </c>
      <c r="L28" s="742">
        <f>SUM(L23:L27)</f>
        <v>6265</v>
      </c>
      <c r="M28" s="202">
        <f>+L28-K28</f>
        <v>0</v>
      </c>
      <c r="N28" s="743" t="str">
        <f>IF(K28+L28&lt;&gt;0,IF(K28&lt;&gt;0,IF(M28&lt;&gt;0,ROUND((+M28/K28),4),""),1),"")</f>
        <v/>
      </c>
      <c r="O28" s="23"/>
      <c r="P28" s="23"/>
      <c r="Q28" s="27"/>
      <c r="R28" s="27"/>
      <c r="S28" s="27"/>
    </row>
    <row r="29" spans="1:20" x14ac:dyDescent="0.25">
      <c r="A29" s="864"/>
      <c r="B29" s="4"/>
      <c r="C29" s="23"/>
      <c r="D29" s="23"/>
      <c r="E29" s="23"/>
      <c r="F29" s="23"/>
      <c r="G29" s="23"/>
      <c r="H29" s="23"/>
      <c r="I29" s="23"/>
      <c r="J29" s="23"/>
      <c r="K29" s="23"/>
      <c r="L29" s="23"/>
      <c r="M29" s="23"/>
      <c r="N29" s="27"/>
      <c r="O29" s="23"/>
      <c r="P29" s="23"/>
      <c r="Q29" s="27"/>
      <c r="R29" s="27"/>
      <c r="S29" s="27"/>
    </row>
    <row r="30" spans="1:20" x14ac:dyDescent="0.25">
      <c r="A30" s="994"/>
      <c r="B30" s="327"/>
      <c r="C30" s="388"/>
      <c r="D30" s="388"/>
      <c r="E30" s="388"/>
      <c r="F30" s="388"/>
      <c r="G30" s="388"/>
      <c r="H30" s="388"/>
      <c r="I30" s="388"/>
      <c r="J30" s="388"/>
      <c r="K30" s="388"/>
      <c r="L30" s="388"/>
      <c r="M30" s="388"/>
      <c r="N30" s="361"/>
      <c r="O30" s="388"/>
      <c r="P30" s="388"/>
      <c r="Q30" s="27"/>
      <c r="R30" s="27"/>
      <c r="S30" s="27"/>
    </row>
    <row r="31" spans="1:20" x14ac:dyDescent="0.25">
      <c r="A31" s="864"/>
      <c r="B31" s="4"/>
      <c r="C31" s="23"/>
      <c r="D31" s="23"/>
      <c r="E31" s="23"/>
      <c r="F31" s="23"/>
      <c r="G31" s="23"/>
      <c r="H31" s="23"/>
      <c r="I31" s="23"/>
      <c r="J31" s="23"/>
      <c r="K31" s="23"/>
      <c r="L31" s="23"/>
      <c r="M31" s="23"/>
      <c r="N31" s="27"/>
      <c r="O31" s="23"/>
      <c r="P31" s="23"/>
      <c r="Q31" s="27"/>
      <c r="R31" s="27"/>
      <c r="S31" s="27"/>
    </row>
    <row r="32" spans="1:20" x14ac:dyDescent="0.25">
      <c r="A32" s="864"/>
      <c r="B32" s="4"/>
      <c r="C32" s="23"/>
      <c r="D32" s="23"/>
      <c r="E32" s="23"/>
      <c r="F32" s="23"/>
      <c r="G32" s="23"/>
      <c r="H32" s="23"/>
      <c r="I32" s="23"/>
      <c r="J32" s="23"/>
      <c r="K32" s="23"/>
      <c r="L32" s="23"/>
      <c r="M32" s="23"/>
      <c r="N32" s="27"/>
      <c r="O32" s="23"/>
      <c r="P32" s="23"/>
      <c r="Q32" s="27"/>
      <c r="R32" s="27"/>
      <c r="S32" s="27"/>
    </row>
    <row r="33" spans="1:19" x14ac:dyDescent="0.25">
      <c r="A33" s="864"/>
      <c r="B33" s="4"/>
      <c r="C33" s="23"/>
      <c r="D33" s="23"/>
      <c r="E33" s="23"/>
      <c r="F33" s="23"/>
      <c r="G33" s="23"/>
      <c r="H33" s="23"/>
      <c r="I33" s="23"/>
      <c r="J33" s="23"/>
      <c r="K33" s="23"/>
      <c r="L33" s="23"/>
      <c r="M33" s="23"/>
      <c r="N33" s="27"/>
      <c r="O33" s="23"/>
      <c r="P33" s="23"/>
      <c r="Q33" s="27"/>
      <c r="R33" s="27"/>
      <c r="S33" s="27"/>
    </row>
    <row r="34" spans="1:19" x14ac:dyDescent="0.25">
      <c r="A34" s="864"/>
      <c r="B34" s="4"/>
      <c r="C34" s="23"/>
      <c r="D34" s="23"/>
      <c r="E34" s="23"/>
      <c r="F34" s="23"/>
      <c r="G34" s="23"/>
      <c r="H34" s="23"/>
      <c r="I34" s="23"/>
      <c r="J34" s="23"/>
      <c r="K34" s="23"/>
      <c r="L34" s="23"/>
      <c r="M34" s="23"/>
      <c r="N34" s="27"/>
      <c r="O34" s="23"/>
      <c r="P34" s="23"/>
      <c r="Q34" s="27"/>
      <c r="R34" s="27"/>
      <c r="S34" s="27"/>
    </row>
    <row r="35" spans="1:19" x14ac:dyDescent="0.25">
      <c r="A35" s="864"/>
      <c r="B35" s="4"/>
      <c r="C35" s="23"/>
      <c r="D35" s="23"/>
      <c r="E35" s="23"/>
      <c r="F35" s="23"/>
      <c r="G35" s="23"/>
      <c r="H35" s="23"/>
      <c r="I35" s="23"/>
      <c r="J35" s="23"/>
      <c r="K35" s="23"/>
      <c r="L35" s="23"/>
      <c r="M35" s="23"/>
      <c r="N35" s="27"/>
      <c r="O35" s="23"/>
      <c r="P35" s="23"/>
      <c r="Q35" s="27"/>
      <c r="R35" s="27"/>
      <c r="S35" s="27"/>
    </row>
    <row r="36" spans="1:19" x14ac:dyDescent="0.25">
      <c r="A36" s="864"/>
      <c r="B36" s="4"/>
      <c r="C36" s="23"/>
      <c r="D36" s="23"/>
      <c r="E36" s="23"/>
      <c r="F36" s="23"/>
      <c r="G36" s="23"/>
      <c r="H36" s="23"/>
      <c r="I36" s="23"/>
      <c r="J36" s="23"/>
      <c r="K36" s="23"/>
      <c r="L36" s="23"/>
      <c r="M36" s="23"/>
      <c r="N36" s="27"/>
      <c r="O36" s="23"/>
      <c r="P36" s="23"/>
      <c r="Q36" s="27"/>
      <c r="R36" s="27"/>
      <c r="S36" s="27"/>
    </row>
    <row r="37" spans="1:19" x14ac:dyDescent="0.25">
      <c r="A37" s="864"/>
      <c r="B37" s="4"/>
      <c r="C37" s="23"/>
      <c r="D37" s="23"/>
      <c r="E37" s="23"/>
      <c r="F37" s="23"/>
      <c r="G37" s="23"/>
      <c r="H37" s="23"/>
      <c r="I37" s="23"/>
      <c r="J37" s="23"/>
      <c r="K37" s="23"/>
      <c r="L37" s="23"/>
      <c r="M37" s="23"/>
      <c r="N37" s="27"/>
      <c r="O37" s="23"/>
      <c r="P37" s="23"/>
      <c r="Q37" s="27"/>
      <c r="R37" s="27"/>
      <c r="S37" s="27"/>
    </row>
    <row r="38" spans="1:19" x14ac:dyDescent="0.25">
      <c r="A38" s="864"/>
      <c r="B38" s="4"/>
      <c r="C38" s="23"/>
      <c r="D38" s="23"/>
      <c r="E38" s="23"/>
      <c r="F38" s="23"/>
      <c r="G38" s="23"/>
      <c r="H38" s="23"/>
      <c r="I38" s="23"/>
      <c r="J38" s="23"/>
      <c r="K38" s="23"/>
      <c r="L38" s="23"/>
      <c r="M38" s="23"/>
      <c r="N38" s="27"/>
      <c r="O38" s="23"/>
      <c r="P38" s="23"/>
      <c r="Q38" s="27"/>
      <c r="R38" s="27"/>
      <c r="S38" s="27"/>
    </row>
    <row r="39" spans="1:19" x14ac:dyDescent="0.25">
      <c r="A39" s="864"/>
      <c r="B39" s="4"/>
      <c r="C39" s="23"/>
      <c r="D39" s="23"/>
      <c r="E39" s="23"/>
      <c r="F39" s="23"/>
      <c r="G39" s="23"/>
      <c r="H39" s="23"/>
      <c r="I39" s="23"/>
      <c r="J39" s="23"/>
      <c r="K39" s="23"/>
      <c r="L39" s="23"/>
      <c r="M39" s="23"/>
      <c r="N39" s="27"/>
      <c r="O39" s="23"/>
      <c r="P39" s="23"/>
      <c r="Q39" s="27"/>
      <c r="R39" s="27"/>
      <c r="S39" s="27"/>
    </row>
    <row r="40" spans="1:19" x14ac:dyDescent="0.25">
      <c r="A40" s="864"/>
      <c r="B40" s="4"/>
      <c r="C40" s="23"/>
      <c r="D40" s="23"/>
      <c r="E40" s="23"/>
      <c r="F40" s="23"/>
      <c r="G40" s="23"/>
      <c r="H40" s="23"/>
      <c r="I40" s="23"/>
      <c r="J40" s="23"/>
      <c r="K40" s="23"/>
      <c r="L40" s="23"/>
      <c r="M40" s="23"/>
      <c r="N40" s="27"/>
      <c r="O40" s="23"/>
      <c r="P40" s="23"/>
      <c r="Q40" s="27"/>
      <c r="R40" s="27"/>
      <c r="S40" s="27"/>
    </row>
    <row r="41" spans="1:19" x14ac:dyDescent="0.25">
      <c r="A41" s="864"/>
      <c r="B41" s="4"/>
      <c r="C41" s="23"/>
      <c r="D41" s="23"/>
      <c r="E41" s="23"/>
      <c r="F41" s="23"/>
      <c r="G41" s="23"/>
      <c r="H41" s="23"/>
      <c r="I41" s="23"/>
      <c r="J41" s="23"/>
      <c r="K41" s="23"/>
      <c r="L41" s="23"/>
      <c r="M41" s="23"/>
      <c r="N41" s="4"/>
      <c r="O41" s="23"/>
      <c r="P41" s="23"/>
      <c r="Q41" s="4"/>
      <c r="R41" s="4"/>
      <c r="S41" s="4"/>
    </row>
    <row r="42" spans="1:19" x14ac:dyDescent="0.25">
      <c r="A42" s="864"/>
      <c r="B42" s="4"/>
      <c r="C42" s="23"/>
      <c r="D42" s="23"/>
      <c r="E42" s="23"/>
      <c r="F42" s="23"/>
      <c r="G42" s="23"/>
      <c r="H42" s="23"/>
      <c r="I42" s="23"/>
      <c r="J42" s="23"/>
      <c r="K42" s="23"/>
      <c r="L42" s="23"/>
      <c r="M42" s="23"/>
      <c r="N42" s="4"/>
      <c r="O42" s="23"/>
      <c r="P42" s="23"/>
      <c r="Q42" s="4"/>
      <c r="R42" s="4"/>
      <c r="S42" s="4"/>
    </row>
    <row r="43" spans="1:19" x14ac:dyDescent="0.25">
      <c r="A43" s="864"/>
      <c r="B43" s="4"/>
      <c r="C43" s="23"/>
      <c r="D43" s="23"/>
      <c r="E43" s="23"/>
      <c r="F43" s="23"/>
      <c r="G43" s="23"/>
      <c r="H43" s="23"/>
      <c r="I43" s="23"/>
      <c r="J43" s="23"/>
      <c r="K43" s="23"/>
      <c r="L43" s="23"/>
      <c r="M43" s="23"/>
      <c r="N43" s="4"/>
      <c r="O43" s="23"/>
      <c r="P43" s="23"/>
      <c r="Q43" s="4"/>
      <c r="R43" s="4"/>
      <c r="S43" s="4"/>
    </row>
    <row r="44" spans="1:19" x14ac:dyDescent="0.25">
      <c r="A44" s="864"/>
      <c r="B44" s="4"/>
      <c r="C44" s="23"/>
      <c r="D44" s="23"/>
      <c r="E44" s="23"/>
      <c r="F44" s="23"/>
      <c r="G44" s="23"/>
      <c r="H44" s="23"/>
      <c r="I44" s="23"/>
      <c r="J44" s="23"/>
      <c r="K44" s="23"/>
      <c r="L44" s="23"/>
      <c r="M44" s="23"/>
      <c r="N44" s="4"/>
      <c r="O44" s="23"/>
      <c r="P44" s="23"/>
      <c r="Q44" s="4"/>
      <c r="R44" s="4"/>
      <c r="S44" s="4"/>
    </row>
    <row r="45" spans="1:19" x14ac:dyDescent="0.25">
      <c r="A45" s="864"/>
      <c r="B45" s="4"/>
      <c r="C45" s="23"/>
      <c r="D45" s="23"/>
      <c r="E45" s="23"/>
      <c r="F45" s="23"/>
      <c r="G45" s="23"/>
      <c r="H45" s="23"/>
      <c r="I45" s="23"/>
      <c r="J45" s="23"/>
      <c r="K45" s="23"/>
      <c r="L45" s="23"/>
      <c r="M45" s="23"/>
      <c r="N45" s="4"/>
      <c r="O45" s="23"/>
      <c r="P45" s="23"/>
      <c r="Q45" s="4"/>
      <c r="R45" s="4"/>
      <c r="S45" s="4"/>
    </row>
    <row r="46" spans="1:19" x14ac:dyDescent="0.25">
      <c r="A46" s="864"/>
      <c r="B46" s="4"/>
      <c r="C46" s="23"/>
      <c r="D46" s="23"/>
      <c r="E46" s="23"/>
      <c r="F46" s="23"/>
      <c r="G46" s="23"/>
      <c r="H46" s="23"/>
      <c r="I46" s="23"/>
      <c r="J46" s="23"/>
      <c r="K46" s="23"/>
      <c r="L46" s="23"/>
      <c r="M46" s="23"/>
      <c r="N46" s="4"/>
      <c r="O46" s="23"/>
      <c r="P46" s="23"/>
      <c r="Q46" s="4"/>
      <c r="R46" s="4"/>
      <c r="S46" s="4"/>
    </row>
    <row r="47" spans="1:19" x14ac:dyDescent="0.25">
      <c r="A47" s="864"/>
      <c r="B47" s="4"/>
      <c r="C47" s="23"/>
      <c r="D47" s="23"/>
      <c r="E47" s="23"/>
      <c r="F47" s="23"/>
      <c r="G47" s="23"/>
      <c r="H47" s="23"/>
      <c r="I47" s="23"/>
      <c r="J47" s="23"/>
      <c r="K47" s="23"/>
      <c r="L47" s="23"/>
      <c r="M47" s="23"/>
      <c r="N47" s="4"/>
      <c r="O47" s="23"/>
      <c r="P47" s="23"/>
      <c r="Q47" s="4"/>
      <c r="R47" s="4"/>
      <c r="S47" s="4"/>
    </row>
    <row r="48" spans="1:19" x14ac:dyDescent="0.25">
      <c r="A48" s="864"/>
      <c r="B48" s="4"/>
      <c r="C48" s="23"/>
      <c r="D48" s="23"/>
      <c r="E48" s="23"/>
      <c r="F48" s="23"/>
      <c r="G48" s="23"/>
      <c r="H48" s="23"/>
      <c r="I48" s="23"/>
      <c r="J48" s="23"/>
      <c r="K48" s="23"/>
      <c r="L48" s="23"/>
      <c r="M48" s="23"/>
      <c r="N48" s="4"/>
      <c r="O48" s="23"/>
      <c r="P48" s="23"/>
      <c r="Q48" s="4"/>
      <c r="R48" s="4"/>
      <c r="S48" s="4"/>
    </row>
    <row r="49" spans="1:19" x14ac:dyDescent="0.25">
      <c r="A49" s="864"/>
      <c r="B49" s="4"/>
      <c r="C49" s="23"/>
      <c r="D49" s="23"/>
      <c r="E49" s="23"/>
      <c r="F49" s="23"/>
      <c r="G49" s="23"/>
      <c r="H49" s="23"/>
      <c r="I49" s="23"/>
      <c r="J49" s="23"/>
      <c r="K49" s="23"/>
      <c r="L49" s="23"/>
      <c r="M49" s="23"/>
      <c r="N49" s="4"/>
      <c r="O49" s="23"/>
      <c r="P49" s="23"/>
      <c r="Q49" s="4"/>
      <c r="R49" s="4"/>
      <c r="S49" s="4"/>
    </row>
    <row r="50" spans="1:19" x14ac:dyDescent="0.25">
      <c r="A50" s="864"/>
      <c r="B50" s="4"/>
      <c r="C50" s="23"/>
      <c r="D50" s="23"/>
      <c r="E50" s="23"/>
      <c r="F50" s="23"/>
      <c r="G50" s="23"/>
      <c r="H50" s="23"/>
      <c r="I50" s="23"/>
      <c r="J50" s="23"/>
      <c r="K50" s="23"/>
      <c r="L50" s="23"/>
      <c r="M50" s="23"/>
      <c r="N50" s="4"/>
      <c r="O50" s="23"/>
      <c r="P50" s="23"/>
      <c r="Q50" s="4"/>
      <c r="R50" s="4"/>
      <c r="S50" s="4"/>
    </row>
    <row r="51" spans="1:19" x14ac:dyDescent="0.25">
      <c r="A51" s="864"/>
      <c r="B51" s="4"/>
      <c r="C51" s="23"/>
      <c r="D51" s="23"/>
      <c r="E51" s="23"/>
      <c r="F51" s="23"/>
      <c r="G51" s="23"/>
      <c r="H51" s="23"/>
      <c r="I51" s="23"/>
      <c r="J51" s="23"/>
      <c r="K51" s="23"/>
      <c r="L51" s="23"/>
      <c r="M51" s="23"/>
      <c r="N51" s="4"/>
      <c r="O51" s="23"/>
      <c r="P51" s="23"/>
      <c r="Q51" s="4"/>
      <c r="R51" s="4"/>
      <c r="S51" s="4"/>
    </row>
    <row r="52" spans="1:19" x14ac:dyDescent="0.25">
      <c r="A52" s="864"/>
      <c r="B52" s="4"/>
      <c r="C52" s="23"/>
      <c r="D52" s="23"/>
      <c r="E52" s="23"/>
      <c r="F52" s="23"/>
      <c r="G52" s="23"/>
      <c r="H52" s="23"/>
      <c r="I52" s="23"/>
      <c r="J52" s="23"/>
      <c r="K52" s="23"/>
      <c r="L52" s="23"/>
      <c r="M52" s="23"/>
      <c r="N52" s="4"/>
      <c r="O52" s="23"/>
      <c r="P52" s="23"/>
      <c r="Q52" s="4"/>
      <c r="R52" s="4"/>
      <c r="S52" s="4"/>
    </row>
    <row r="53" spans="1:19" x14ac:dyDescent="0.25">
      <c r="A53" s="864"/>
      <c r="B53" s="4"/>
      <c r="C53" s="23"/>
      <c r="D53" s="23"/>
      <c r="E53" s="23"/>
      <c r="F53" s="23"/>
      <c r="G53" s="23"/>
      <c r="H53" s="23"/>
      <c r="I53" s="23"/>
      <c r="J53" s="23"/>
      <c r="K53" s="23"/>
      <c r="L53" s="23"/>
      <c r="M53" s="23"/>
      <c r="N53" s="4"/>
      <c r="O53" s="23"/>
      <c r="P53" s="23"/>
      <c r="Q53" s="4"/>
      <c r="R53" s="4"/>
      <c r="S53" s="4"/>
    </row>
    <row r="54" spans="1:19" x14ac:dyDescent="0.25">
      <c r="A54" s="864"/>
      <c r="B54" s="4"/>
      <c r="C54" s="23"/>
      <c r="D54" s="23"/>
      <c r="E54" s="23"/>
      <c r="F54" s="23"/>
      <c r="G54" s="23"/>
      <c r="H54" s="23"/>
      <c r="I54" s="23"/>
      <c r="J54" s="23"/>
      <c r="K54" s="23"/>
      <c r="L54" s="23"/>
      <c r="M54" s="23"/>
      <c r="N54" s="4"/>
      <c r="O54" s="23"/>
      <c r="P54" s="23"/>
      <c r="Q54" s="4"/>
      <c r="R54" s="4"/>
      <c r="S54" s="4"/>
    </row>
    <row r="55" spans="1:19" x14ac:dyDescent="0.25">
      <c r="A55" s="864"/>
      <c r="B55" s="4"/>
      <c r="C55" s="23"/>
      <c r="D55" s="23"/>
      <c r="E55" s="23"/>
      <c r="F55" s="23"/>
      <c r="G55" s="23"/>
      <c r="H55" s="23"/>
      <c r="I55" s="23"/>
      <c r="J55" s="23"/>
      <c r="K55" s="23"/>
      <c r="L55" s="23"/>
      <c r="M55" s="23"/>
      <c r="N55" s="4"/>
      <c r="O55" s="23"/>
      <c r="P55" s="23"/>
      <c r="Q55" s="4"/>
      <c r="R55" s="4"/>
      <c r="S55" s="4"/>
    </row>
    <row r="56" spans="1:19" x14ac:dyDescent="0.25">
      <c r="A56" s="864"/>
      <c r="B56" s="4"/>
      <c r="C56" s="23"/>
      <c r="D56" s="23"/>
      <c r="E56" s="23"/>
      <c r="F56" s="23"/>
      <c r="G56" s="23"/>
      <c r="H56" s="23"/>
      <c r="I56" s="23"/>
      <c r="J56" s="23"/>
      <c r="K56" s="23"/>
      <c r="L56" s="23"/>
      <c r="M56" s="23"/>
      <c r="N56" s="4"/>
      <c r="O56" s="23"/>
      <c r="P56" s="23"/>
      <c r="Q56" s="4"/>
      <c r="R56" s="4"/>
      <c r="S56" s="4"/>
    </row>
    <row r="57" spans="1:19" x14ac:dyDescent="0.25">
      <c r="A57" s="864"/>
      <c r="B57" s="4"/>
      <c r="C57" s="23"/>
      <c r="D57" s="23"/>
      <c r="E57" s="23"/>
      <c r="F57" s="23"/>
      <c r="G57" s="23"/>
      <c r="H57" s="23"/>
      <c r="I57" s="23"/>
      <c r="J57" s="23"/>
      <c r="K57" s="23"/>
      <c r="L57" s="23"/>
      <c r="M57" s="23"/>
      <c r="N57" s="4"/>
      <c r="O57" s="23"/>
      <c r="P57" s="23"/>
      <c r="Q57" s="4"/>
      <c r="R57" s="4"/>
      <c r="S57" s="4"/>
    </row>
    <row r="58" spans="1:19" x14ac:dyDescent="0.25">
      <c r="A58" s="864"/>
      <c r="B58" s="4"/>
      <c r="C58" s="23"/>
      <c r="D58" s="23"/>
      <c r="E58" s="23"/>
      <c r="F58" s="23"/>
      <c r="G58" s="23"/>
      <c r="H58" s="23"/>
      <c r="I58" s="23"/>
      <c r="J58" s="23"/>
      <c r="K58" s="23"/>
      <c r="L58" s="23"/>
      <c r="M58" s="23"/>
      <c r="N58" s="4"/>
      <c r="O58" s="23"/>
      <c r="P58" s="23"/>
      <c r="Q58" s="4"/>
      <c r="R58" s="4"/>
      <c r="S58" s="4"/>
    </row>
    <row r="59" spans="1:19" x14ac:dyDescent="0.25">
      <c r="A59" s="864"/>
      <c r="B59" s="4"/>
      <c r="C59" s="23"/>
      <c r="D59" s="23"/>
      <c r="E59" s="23"/>
      <c r="F59" s="23"/>
      <c r="G59" s="23"/>
      <c r="H59" s="23"/>
      <c r="I59" s="23"/>
      <c r="J59" s="23"/>
      <c r="K59" s="23"/>
      <c r="L59" s="23"/>
      <c r="M59" s="23"/>
      <c r="N59" s="4"/>
      <c r="O59" s="23"/>
      <c r="P59" s="23"/>
      <c r="Q59" s="4"/>
      <c r="R59" s="4"/>
      <c r="S59" s="4"/>
    </row>
    <row r="60" spans="1:19" x14ac:dyDescent="0.25">
      <c r="A60" s="864"/>
      <c r="B60" s="4"/>
      <c r="C60" s="23"/>
      <c r="D60" s="23"/>
      <c r="E60" s="23"/>
      <c r="F60" s="23"/>
      <c r="G60" s="23"/>
      <c r="H60" s="23"/>
      <c r="I60" s="23"/>
      <c r="J60" s="23"/>
      <c r="K60" s="23"/>
      <c r="L60" s="23"/>
      <c r="M60" s="23"/>
      <c r="N60" s="4"/>
      <c r="O60" s="23"/>
      <c r="P60" s="23"/>
      <c r="Q60" s="4"/>
      <c r="R60" s="4"/>
      <c r="S60" s="4"/>
    </row>
    <row r="61" spans="1:19" x14ac:dyDescent="0.25">
      <c r="A61" s="864"/>
      <c r="B61" s="4"/>
      <c r="C61" s="23"/>
      <c r="D61" s="23"/>
      <c r="E61" s="23"/>
      <c r="F61" s="23"/>
      <c r="G61" s="23"/>
      <c r="H61" s="23"/>
      <c r="I61" s="23"/>
      <c r="J61" s="23"/>
      <c r="K61" s="23"/>
      <c r="L61" s="23"/>
      <c r="M61" s="23"/>
      <c r="N61" s="4"/>
      <c r="O61" s="23"/>
      <c r="P61" s="23"/>
      <c r="Q61" s="4"/>
      <c r="R61" s="4"/>
      <c r="S61" s="4"/>
    </row>
    <row r="62" spans="1:19" x14ac:dyDescent="0.25">
      <c r="A62" s="864"/>
      <c r="B62" s="4"/>
      <c r="C62" s="23"/>
      <c r="D62" s="23"/>
      <c r="E62" s="23"/>
      <c r="F62" s="23"/>
      <c r="G62" s="23"/>
      <c r="H62" s="23"/>
      <c r="I62" s="23"/>
      <c r="J62" s="23"/>
      <c r="K62" s="23"/>
      <c r="L62" s="23"/>
      <c r="M62" s="23"/>
      <c r="N62" s="4"/>
      <c r="O62" s="23"/>
      <c r="P62" s="23"/>
      <c r="Q62" s="4"/>
      <c r="R62" s="4"/>
      <c r="S62" s="4"/>
    </row>
    <row r="63" spans="1:19" x14ac:dyDescent="0.25">
      <c r="A63" s="864"/>
      <c r="B63" s="4"/>
      <c r="C63" s="23"/>
      <c r="D63" s="23"/>
      <c r="E63" s="23"/>
      <c r="F63" s="23"/>
      <c r="G63" s="23"/>
      <c r="H63" s="23"/>
      <c r="I63" s="23"/>
      <c r="J63" s="23"/>
      <c r="K63" s="23"/>
      <c r="L63" s="23"/>
      <c r="M63" s="23"/>
      <c r="N63" s="4"/>
      <c r="O63" s="23"/>
      <c r="P63" s="23"/>
      <c r="Q63" s="4"/>
      <c r="R63" s="4"/>
      <c r="S63" s="4"/>
    </row>
    <row r="64" spans="1:19" x14ac:dyDescent="0.25">
      <c r="A64" s="864"/>
      <c r="B64" s="4"/>
      <c r="C64" s="23"/>
      <c r="D64" s="23"/>
      <c r="E64" s="23"/>
      <c r="F64" s="23"/>
      <c r="G64" s="23"/>
      <c r="H64" s="23"/>
      <c r="I64" s="23"/>
      <c r="J64" s="23"/>
      <c r="K64" s="23"/>
      <c r="L64" s="23"/>
      <c r="M64" s="23"/>
      <c r="N64" s="4"/>
      <c r="O64" s="23"/>
      <c r="P64" s="23"/>
      <c r="Q64" s="4"/>
      <c r="R64" s="4"/>
      <c r="S64" s="4"/>
    </row>
    <row r="65" spans="1:19" x14ac:dyDescent="0.25">
      <c r="A65" s="864"/>
      <c r="B65" s="4"/>
      <c r="C65" s="23"/>
      <c r="D65" s="23"/>
      <c r="E65" s="23"/>
      <c r="F65" s="23"/>
      <c r="G65" s="23"/>
      <c r="H65" s="23"/>
      <c r="I65" s="23"/>
      <c r="J65" s="23"/>
      <c r="K65" s="23"/>
      <c r="L65" s="23"/>
      <c r="M65" s="23"/>
      <c r="N65" s="4"/>
      <c r="O65" s="23"/>
      <c r="P65" s="23"/>
      <c r="Q65" s="4"/>
      <c r="R65" s="4"/>
      <c r="S65" s="4"/>
    </row>
    <row r="66" spans="1:19" x14ac:dyDescent="0.25">
      <c r="A66" s="864"/>
      <c r="B66" s="4"/>
      <c r="C66" s="23"/>
      <c r="D66" s="23"/>
      <c r="E66" s="23"/>
      <c r="F66" s="23"/>
      <c r="G66" s="23"/>
      <c r="H66" s="23"/>
      <c r="I66" s="23"/>
      <c r="J66" s="23"/>
      <c r="K66" s="23"/>
      <c r="L66" s="23"/>
      <c r="M66" s="23"/>
      <c r="N66" s="4"/>
      <c r="O66" s="23"/>
      <c r="P66" s="23"/>
      <c r="Q66" s="4"/>
      <c r="R66" s="4"/>
      <c r="S66" s="4"/>
    </row>
    <row r="67" spans="1:19" x14ac:dyDescent="0.25">
      <c r="A67" s="864"/>
      <c r="B67" s="4"/>
      <c r="C67" s="23"/>
      <c r="D67" s="23"/>
      <c r="E67" s="23"/>
      <c r="F67" s="23"/>
      <c r="G67" s="23"/>
      <c r="H67" s="23"/>
      <c r="I67" s="23"/>
      <c r="J67" s="23"/>
      <c r="K67" s="23"/>
      <c r="L67" s="23"/>
      <c r="M67" s="23"/>
      <c r="N67" s="4"/>
      <c r="O67" s="23"/>
      <c r="P67" s="23"/>
      <c r="Q67" s="4"/>
      <c r="R67" s="4"/>
      <c r="S67" s="4"/>
    </row>
    <row r="68" spans="1:19" x14ac:dyDescent="0.25">
      <c r="A68" s="864"/>
      <c r="B68" s="4"/>
      <c r="C68" s="23"/>
      <c r="D68" s="23"/>
      <c r="E68" s="23"/>
      <c r="F68" s="23"/>
      <c r="G68" s="23"/>
      <c r="H68" s="23"/>
      <c r="I68" s="23"/>
      <c r="J68" s="23"/>
      <c r="K68" s="23"/>
      <c r="L68" s="23"/>
      <c r="M68" s="23"/>
      <c r="N68" s="4"/>
      <c r="O68" s="23"/>
      <c r="P68" s="23"/>
      <c r="Q68" s="4"/>
      <c r="R68" s="4"/>
      <c r="S68" s="4"/>
    </row>
    <row r="69" spans="1:19" x14ac:dyDescent="0.25">
      <c r="A69" s="864"/>
      <c r="B69" s="4"/>
      <c r="C69" s="23"/>
      <c r="D69" s="23"/>
      <c r="E69" s="23"/>
      <c r="F69" s="23"/>
      <c r="G69" s="23"/>
      <c r="H69" s="23"/>
      <c r="I69" s="23"/>
      <c r="J69" s="23"/>
      <c r="K69" s="23"/>
      <c r="L69" s="23"/>
      <c r="M69" s="23"/>
      <c r="N69" s="4"/>
      <c r="O69" s="23"/>
      <c r="P69" s="23"/>
      <c r="Q69" s="4"/>
      <c r="R69" s="4"/>
      <c r="S69" s="4"/>
    </row>
    <row r="70" spans="1:19" x14ac:dyDescent="0.25">
      <c r="A70" s="864"/>
      <c r="B70" s="4"/>
      <c r="C70" s="23"/>
      <c r="D70" s="23"/>
      <c r="E70" s="23"/>
      <c r="F70" s="23"/>
      <c r="G70" s="23"/>
      <c r="H70" s="23"/>
      <c r="I70" s="23"/>
      <c r="J70" s="23"/>
      <c r="K70" s="23"/>
      <c r="L70" s="23"/>
      <c r="M70" s="23"/>
      <c r="N70" s="4"/>
      <c r="O70" s="23"/>
      <c r="P70" s="23"/>
      <c r="Q70" s="4"/>
      <c r="R70" s="4"/>
      <c r="S70" s="4"/>
    </row>
    <row r="71" spans="1:19" x14ac:dyDescent="0.25">
      <c r="A71" s="864"/>
      <c r="B71" s="4"/>
      <c r="C71" s="23"/>
      <c r="D71" s="23"/>
      <c r="E71" s="23"/>
      <c r="F71" s="23"/>
      <c r="G71" s="23"/>
      <c r="H71" s="23"/>
      <c r="I71" s="23"/>
      <c r="J71" s="23"/>
      <c r="K71" s="23"/>
      <c r="L71" s="23"/>
      <c r="M71" s="23"/>
      <c r="N71" s="4"/>
      <c r="O71" s="23"/>
      <c r="P71" s="23"/>
      <c r="Q71" s="4"/>
      <c r="R71" s="4"/>
      <c r="S71" s="4"/>
    </row>
    <row r="72" spans="1:19" x14ac:dyDescent="0.25">
      <c r="A72" s="864"/>
      <c r="B72" s="4"/>
      <c r="C72" s="23"/>
      <c r="D72" s="23"/>
      <c r="E72" s="23"/>
      <c r="F72" s="23"/>
      <c r="G72" s="23"/>
      <c r="H72" s="23"/>
      <c r="I72" s="23"/>
      <c r="J72" s="23"/>
      <c r="K72" s="23"/>
      <c r="L72" s="23"/>
      <c r="M72" s="23"/>
      <c r="N72" s="4"/>
      <c r="O72" s="23"/>
      <c r="P72" s="23"/>
      <c r="Q72" s="4"/>
      <c r="R72" s="4"/>
      <c r="S72" s="4"/>
    </row>
    <row r="73" spans="1:19" x14ac:dyDescent="0.25">
      <c r="A73" s="864"/>
      <c r="B73" s="4"/>
      <c r="C73" s="23"/>
      <c r="D73" s="23"/>
      <c r="E73" s="23"/>
      <c r="F73" s="23"/>
      <c r="G73" s="23"/>
      <c r="H73" s="23"/>
      <c r="I73" s="23"/>
      <c r="J73" s="23"/>
      <c r="K73" s="23"/>
      <c r="L73" s="23"/>
      <c r="M73" s="23"/>
      <c r="N73" s="4"/>
      <c r="O73" s="23"/>
      <c r="P73" s="23"/>
      <c r="Q73" s="4"/>
      <c r="R73" s="4"/>
      <c r="S73" s="4"/>
    </row>
    <row r="74" spans="1:19" x14ac:dyDescent="0.25">
      <c r="A74" s="864"/>
      <c r="B74" s="4"/>
      <c r="C74" s="23"/>
      <c r="D74" s="23"/>
      <c r="E74" s="23"/>
      <c r="F74" s="23"/>
      <c r="G74" s="23"/>
      <c r="H74" s="23"/>
      <c r="I74" s="23"/>
      <c r="J74" s="23"/>
      <c r="K74" s="23"/>
      <c r="L74" s="23"/>
      <c r="M74" s="23"/>
      <c r="N74" s="4"/>
      <c r="O74" s="23"/>
      <c r="P74" s="23"/>
      <c r="Q74" s="4"/>
      <c r="R74" s="4"/>
      <c r="S74" s="4"/>
    </row>
    <row r="75" spans="1:19" x14ac:dyDescent="0.25">
      <c r="A75" s="864"/>
      <c r="B75" s="4"/>
      <c r="C75" s="23"/>
      <c r="D75" s="23"/>
      <c r="E75" s="23"/>
      <c r="F75" s="23"/>
      <c r="G75" s="23"/>
      <c r="H75" s="23"/>
      <c r="I75" s="23"/>
      <c r="J75" s="23"/>
      <c r="K75" s="23"/>
      <c r="L75" s="23"/>
      <c r="M75" s="23"/>
      <c r="N75" s="4"/>
      <c r="O75" s="23"/>
      <c r="P75" s="23"/>
      <c r="Q75" s="4"/>
      <c r="R75" s="4"/>
      <c r="S75" s="4"/>
    </row>
    <row r="76" spans="1:19" x14ac:dyDescent="0.25">
      <c r="A76" s="864"/>
      <c r="B76" s="4"/>
      <c r="C76" s="23"/>
      <c r="D76" s="23"/>
      <c r="E76" s="23"/>
      <c r="F76" s="23"/>
      <c r="G76" s="23"/>
      <c r="H76" s="23"/>
      <c r="I76" s="23"/>
      <c r="J76" s="23"/>
      <c r="K76" s="23"/>
      <c r="L76" s="23"/>
      <c r="M76" s="23"/>
      <c r="N76" s="4"/>
      <c r="O76" s="23"/>
      <c r="P76" s="23"/>
      <c r="Q76" s="4"/>
      <c r="R76" s="4"/>
      <c r="S76" s="4"/>
    </row>
    <row r="77" spans="1:19" x14ac:dyDescent="0.25">
      <c r="A77" s="864"/>
      <c r="B77" s="4"/>
      <c r="C77" s="23"/>
      <c r="D77" s="23"/>
      <c r="E77" s="23"/>
      <c r="F77" s="23"/>
      <c r="G77" s="23"/>
      <c r="H77" s="23"/>
      <c r="I77" s="23"/>
      <c r="J77" s="23"/>
      <c r="K77" s="23"/>
      <c r="L77" s="23"/>
      <c r="M77" s="23"/>
      <c r="N77" s="4"/>
      <c r="O77" s="23"/>
      <c r="P77" s="23"/>
      <c r="Q77" s="4"/>
      <c r="R77" s="4"/>
      <c r="S77" s="4"/>
    </row>
    <row r="78" spans="1:19" x14ac:dyDescent="0.25">
      <c r="A78" s="864"/>
      <c r="B78" s="4"/>
      <c r="C78" s="23"/>
      <c r="D78" s="23"/>
      <c r="E78" s="23"/>
      <c r="F78" s="23"/>
      <c r="G78" s="23"/>
      <c r="H78" s="23"/>
      <c r="I78" s="23"/>
      <c r="J78" s="23"/>
      <c r="K78" s="23"/>
      <c r="L78" s="23"/>
      <c r="M78" s="23"/>
      <c r="N78" s="4"/>
      <c r="O78" s="23"/>
      <c r="P78" s="23"/>
      <c r="Q78" s="4"/>
      <c r="R78" s="4"/>
      <c r="S78" s="4"/>
    </row>
    <row r="79" spans="1:19" x14ac:dyDescent="0.25">
      <c r="A79" s="864"/>
      <c r="B79" s="4"/>
      <c r="C79" s="23"/>
      <c r="D79" s="23"/>
      <c r="E79" s="23"/>
      <c r="F79" s="23"/>
      <c r="G79" s="23"/>
      <c r="H79" s="23"/>
      <c r="I79" s="23"/>
      <c r="J79" s="23"/>
      <c r="K79" s="23"/>
      <c r="L79" s="23"/>
      <c r="M79" s="23"/>
      <c r="N79" s="4"/>
      <c r="O79" s="23"/>
      <c r="P79" s="23"/>
      <c r="Q79" s="4"/>
      <c r="R79" s="4"/>
      <c r="S79" s="4"/>
    </row>
    <row r="80" spans="1:19" x14ac:dyDescent="0.25">
      <c r="A80" s="864"/>
      <c r="B80" s="4"/>
      <c r="C80" s="23"/>
      <c r="D80" s="23"/>
      <c r="E80" s="23"/>
      <c r="F80" s="23"/>
      <c r="G80" s="23"/>
      <c r="H80" s="23"/>
      <c r="I80" s="23"/>
      <c r="J80" s="23"/>
      <c r="K80" s="23"/>
      <c r="L80" s="23"/>
      <c r="M80" s="23"/>
      <c r="N80" s="4"/>
      <c r="O80" s="23"/>
      <c r="P80" s="23"/>
      <c r="Q80" s="4"/>
      <c r="R80" s="4"/>
      <c r="S80" s="4"/>
    </row>
    <row r="81" spans="1:19" x14ac:dyDescent="0.25">
      <c r="A81" s="864"/>
      <c r="B81" s="4"/>
      <c r="C81" s="23"/>
      <c r="D81" s="23"/>
      <c r="E81" s="23"/>
      <c r="F81" s="23"/>
      <c r="G81" s="23"/>
      <c r="H81" s="23"/>
      <c r="I81" s="23"/>
      <c r="J81" s="23"/>
      <c r="K81" s="23"/>
      <c r="L81" s="23"/>
      <c r="M81" s="23"/>
      <c r="N81" s="4"/>
      <c r="O81" s="23"/>
      <c r="P81" s="23"/>
      <c r="Q81" s="4"/>
      <c r="R81" s="4"/>
      <c r="S81" s="4"/>
    </row>
    <row r="82" spans="1:19" x14ac:dyDescent="0.25">
      <c r="A82" s="864"/>
      <c r="B82" s="4"/>
      <c r="C82" s="23"/>
      <c r="D82" s="23"/>
      <c r="E82" s="23"/>
      <c r="F82" s="23"/>
      <c r="G82" s="23"/>
      <c r="H82" s="23"/>
      <c r="I82" s="23"/>
      <c r="J82" s="23"/>
      <c r="K82" s="23"/>
      <c r="L82" s="23"/>
      <c r="M82" s="23"/>
      <c r="N82" s="4"/>
      <c r="O82" s="23"/>
      <c r="P82" s="23"/>
      <c r="Q82" s="4"/>
      <c r="R82" s="4"/>
      <c r="S82" s="4"/>
    </row>
    <row r="83" spans="1:19" x14ac:dyDescent="0.25">
      <c r="A83" s="864"/>
      <c r="B83" s="4"/>
      <c r="C83" s="23"/>
      <c r="D83" s="23"/>
      <c r="E83" s="23"/>
      <c r="F83" s="23"/>
      <c r="G83" s="23"/>
      <c r="H83" s="23"/>
      <c r="I83" s="23"/>
      <c r="J83" s="23"/>
      <c r="K83" s="23"/>
      <c r="L83" s="23"/>
      <c r="M83" s="23"/>
      <c r="N83" s="4"/>
      <c r="O83" s="23"/>
      <c r="P83" s="23"/>
      <c r="Q83" s="4"/>
      <c r="R83" s="4"/>
      <c r="S83" s="4"/>
    </row>
    <row r="84" spans="1:19" x14ac:dyDescent="0.25">
      <c r="A84" s="864"/>
      <c r="B84" s="4"/>
      <c r="C84" s="23"/>
      <c r="D84" s="23"/>
      <c r="E84" s="23"/>
      <c r="F84" s="23"/>
      <c r="G84" s="23"/>
      <c r="H84" s="23"/>
      <c r="I84" s="23"/>
      <c r="J84" s="23"/>
      <c r="K84" s="23"/>
      <c r="L84" s="23"/>
      <c r="M84" s="23"/>
      <c r="N84" s="4"/>
      <c r="O84" s="23"/>
      <c r="P84" s="23"/>
      <c r="Q84" s="4"/>
      <c r="R84" s="4"/>
      <c r="S84" s="4"/>
    </row>
    <row r="85" spans="1:19" x14ac:dyDescent="0.25">
      <c r="A85" s="864"/>
      <c r="B85" s="4"/>
      <c r="C85" s="23"/>
      <c r="D85" s="23"/>
      <c r="E85" s="23"/>
      <c r="F85" s="23"/>
      <c r="G85" s="23"/>
      <c r="H85" s="23"/>
      <c r="I85" s="23"/>
      <c r="J85" s="23"/>
      <c r="K85" s="23"/>
      <c r="L85" s="23"/>
      <c r="M85" s="23"/>
      <c r="N85" s="4"/>
      <c r="O85" s="23"/>
      <c r="P85" s="23"/>
      <c r="Q85" s="4"/>
      <c r="R85" s="4"/>
      <c r="S85" s="4"/>
    </row>
    <row r="86" spans="1:19" x14ac:dyDescent="0.25">
      <c r="A86" s="864"/>
      <c r="B86" s="4"/>
      <c r="C86" s="23"/>
      <c r="D86" s="23"/>
      <c r="E86" s="23"/>
      <c r="F86" s="23"/>
      <c r="G86" s="23"/>
      <c r="H86" s="23"/>
      <c r="I86" s="23"/>
      <c r="J86" s="23"/>
      <c r="K86" s="23"/>
      <c r="L86" s="23"/>
      <c r="M86" s="23"/>
      <c r="N86" s="4"/>
      <c r="O86" s="23"/>
      <c r="P86" s="23"/>
      <c r="Q86" s="4"/>
      <c r="R86" s="4"/>
      <c r="S86" s="4"/>
    </row>
    <row r="87" spans="1:19" x14ac:dyDescent="0.25">
      <c r="A87" s="864"/>
      <c r="B87" s="4"/>
      <c r="C87" s="23"/>
      <c r="D87" s="23"/>
      <c r="E87" s="23"/>
      <c r="F87" s="23"/>
      <c r="G87" s="23"/>
      <c r="H87" s="23"/>
      <c r="I87" s="23"/>
      <c r="J87" s="23"/>
      <c r="K87" s="23"/>
      <c r="L87" s="23"/>
      <c r="M87" s="23"/>
      <c r="N87" s="4"/>
      <c r="O87" s="23"/>
      <c r="P87" s="23"/>
      <c r="Q87" s="4"/>
      <c r="R87" s="4"/>
      <c r="S87" s="4"/>
    </row>
    <row r="88" spans="1:19" x14ac:dyDescent="0.25">
      <c r="A88" s="864"/>
      <c r="B88" s="4"/>
      <c r="C88" s="23"/>
      <c r="D88" s="23"/>
      <c r="E88" s="23"/>
      <c r="F88" s="23"/>
      <c r="G88" s="23"/>
      <c r="H88" s="23"/>
      <c r="I88" s="23"/>
      <c r="J88" s="23"/>
      <c r="K88" s="23"/>
      <c r="L88" s="23"/>
      <c r="M88" s="23"/>
      <c r="N88" s="4"/>
      <c r="O88" s="23"/>
      <c r="P88" s="23"/>
      <c r="Q88" s="4"/>
      <c r="R88" s="4"/>
      <c r="S88" s="4"/>
    </row>
    <row r="89" spans="1:19" x14ac:dyDescent="0.25">
      <c r="A89" s="864"/>
      <c r="B89" s="4"/>
      <c r="C89" s="23"/>
      <c r="D89" s="23"/>
      <c r="E89" s="23"/>
      <c r="F89" s="23"/>
      <c r="G89" s="23"/>
      <c r="H89" s="23"/>
      <c r="I89" s="23"/>
      <c r="J89" s="23"/>
      <c r="K89" s="23"/>
      <c r="L89" s="23"/>
      <c r="M89" s="23"/>
      <c r="N89" s="4"/>
      <c r="O89" s="23"/>
      <c r="P89" s="23"/>
      <c r="Q89" s="4"/>
      <c r="R89" s="4"/>
      <c r="S89" s="4"/>
    </row>
    <row r="90" spans="1:19" x14ac:dyDescent="0.25">
      <c r="A90" s="864"/>
      <c r="B90" s="4"/>
      <c r="C90" s="23"/>
      <c r="D90" s="23"/>
      <c r="E90" s="23"/>
      <c r="F90" s="23"/>
      <c r="G90" s="23"/>
      <c r="H90" s="23"/>
      <c r="I90" s="23"/>
      <c r="J90" s="23"/>
      <c r="K90" s="23"/>
      <c r="L90" s="23"/>
      <c r="M90" s="23"/>
      <c r="N90" s="4"/>
      <c r="O90" s="23"/>
      <c r="P90" s="23"/>
      <c r="Q90" s="4"/>
      <c r="R90" s="4"/>
      <c r="S90" s="4"/>
    </row>
    <row r="91" spans="1:19" x14ac:dyDescent="0.25">
      <c r="A91" s="864"/>
      <c r="B91" s="4"/>
      <c r="C91" s="23"/>
      <c r="D91" s="23"/>
      <c r="E91" s="23"/>
      <c r="F91" s="23"/>
      <c r="G91" s="23"/>
      <c r="H91" s="23"/>
      <c r="I91" s="23"/>
      <c r="J91" s="23"/>
      <c r="K91" s="23"/>
      <c r="L91" s="23"/>
      <c r="M91" s="23"/>
      <c r="N91" s="4"/>
      <c r="O91" s="23"/>
      <c r="P91" s="23"/>
      <c r="Q91" s="4"/>
      <c r="R91" s="4"/>
      <c r="S91" s="4"/>
    </row>
    <row r="92" spans="1:19" x14ac:dyDescent="0.25">
      <c r="A92" s="864"/>
      <c r="B92" s="4"/>
      <c r="C92" s="23"/>
      <c r="D92" s="23"/>
      <c r="E92" s="23"/>
      <c r="F92" s="23"/>
      <c r="G92" s="23"/>
      <c r="H92" s="23"/>
      <c r="I92" s="23"/>
      <c r="J92" s="23"/>
      <c r="K92" s="23"/>
      <c r="L92" s="23"/>
      <c r="M92" s="23"/>
      <c r="N92" s="4"/>
      <c r="O92" s="23"/>
      <c r="P92" s="23"/>
      <c r="Q92" s="4"/>
      <c r="R92" s="4"/>
      <c r="S92" s="4"/>
    </row>
    <row r="93" spans="1:19" x14ac:dyDescent="0.25">
      <c r="A93" s="864"/>
      <c r="B93" s="4"/>
      <c r="C93" s="23"/>
      <c r="D93" s="23"/>
      <c r="E93" s="23"/>
      <c r="F93" s="23"/>
      <c r="G93" s="23"/>
      <c r="H93" s="23"/>
      <c r="I93" s="23"/>
      <c r="J93" s="23"/>
      <c r="K93" s="23"/>
      <c r="L93" s="23"/>
      <c r="M93" s="23"/>
      <c r="N93" s="4"/>
      <c r="O93" s="23"/>
      <c r="P93" s="23"/>
      <c r="Q93" s="4"/>
      <c r="R93" s="4"/>
      <c r="S93" s="4"/>
    </row>
    <row r="94" spans="1:19" x14ac:dyDescent="0.25">
      <c r="A94" s="864"/>
      <c r="B94" s="4"/>
      <c r="C94" s="23"/>
      <c r="D94" s="23"/>
      <c r="E94" s="23"/>
      <c r="F94" s="23"/>
      <c r="G94" s="23"/>
      <c r="H94" s="23"/>
      <c r="I94" s="23"/>
      <c r="J94" s="23"/>
      <c r="K94" s="23"/>
      <c r="L94" s="23"/>
      <c r="M94" s="23"/>
      <c r="N94" s="4"/>
      <c r="O94" s="23"/>
      <c r="P94" s="23"/>
      <c r="Q94" s="4"/>
      <c r="R94" s="4"/>
      <c r="S94" s="4"/>
    </row>
    <row r="95" spans="1:19" x14ac:dyDescent="0.25">
      <c r="A95" s="864"/>
      <c r="B95" s="4"/>
      <c r="C95" s="23"/>
      <c r="D95" s="23"/>
      <c r="E95" s="23"/>
      <c r="F95" s="23"/>
      <c r="G95" s="23"/>
      <c r="H95" s="23"/>
      <c r="I95" s="23"/>
      <c r="J95" s="23"/>
      <c r="K95" s="23"/>
      <c r="L95" s="23"/>
      <c r="M95" s="23"/>
      <c r="N95" s="4"/>
      <c r="O95" s="23"/>
      <c r="P95" s="23"/>
      <c r="Q95" s="4"/>
      <c r="R95" s="4"/>
      <c r="S95" s="4"/>
    </row>
    <row r="96" spans="1:19" x14ac:dyDescent="0.25">
      <c r="A96" s="864"/>
      <c r="B96" s="4"/>
      <c r="C96" s="23"/>
      <c r="D96" s="23"/>
      <c r="E96" s="23"/>
      <c r="F96" s="23"/>
      <c r="G96" s="23"/>
      <c r="H96" s="23"/>
      <c r="I96" s="23"/>
      <c r="J96" s="23"/>
      <c r="K96" s="23"/>
      <c r="L96" s="23"/>
      <c r="M96" s="23"/>
      <c r="N96" s="4"/>
      <c r="O96" s="23"/>
      <c r="P96" s="23"/>
      <c r="Q96" s="4"/>
      <c r="R96" s="4"/>
      <c r="S96" s="4"/>
    </row>
    <row r="97" spans="1:19" x14ac:dyDescent="0.25">
      <c r="A97" s="864"/>
      <c r="B97" s="4"/>
      <c r="C97" s="23"/>
      <c r="D97" s="23"/>
      <c r="E97" s="23"/>
      <c r="F97" s="23"/>
      <c r="G97" s="23"/>
      <c r="H97" s="23"/>
      <c r="I97" s="23"/>
      <c r="J97" s="23"/>
      <c r="K97" s="23"/>
      <c r="L97" s="23"/>
      <c r="M97" s="23"/>
      <c r="N97" s="4"/>
      <c r="O97" s="23"/>
      <c r="P97" s="23"/>
      <c r="Q97" s="4"/>
      <c r="R97" s="4"/>
      <c r="S97" s="4"/>
    </row>
    <row r="98" spans="1:19" x14ac:dyDescent="0.25">
      <c r="A98" s="864"/>
      <c r="B98" s="4"/>
      <c r="C98" s="23"/>
      <c r="D98" s="23"/>
      <c r="E98" s="23"/>
      <c r="F98" s="23"/>
      <c r="G98" s="23"/>
      <c r="H98" s="23"/>
      <c r="I98" s="23"/>
      <c r="J98" s="23"/>
      <c r="K98" s="23"/>
      <c r="L98" s="23"/>
      <c r="M98" s="23"/>
      <c r="N98" s="4"/>
      <c r="O98" s="23"/>
      <c r="P98" s="23"/>
      <c r="Q98" s="4"/>
      <c r="R98" s="4"/>
      <c r="S98" s="4"/>
    </row>
    <row r="99" spans="1:19" x14ac:dyDescent="0.25">
      <c r="A99" s="864"/>
      <c r="B99" s="4"/>
      <c r="C99" s="23"/>
      <c r="D99" s="23"/>
      <c r="E99" s="23"/>
      <c r="F99" s="23"/>
      <c r="G99" s="23"/>
      <c r="H99" s="23"/>
      <c r="I99" s="23"/>
      <c r="J99" s="23"/>
      <c r="K99" s="23"/>
      <c r="L99" s="23"/>
      <c r="M99" s="23"/>
      <c r="N99" s="4"/>
      <c r="O99" s="23"/>
      <c r="P99" s="23"/>
      <c r="Q99" s="4"/>
      <c r="R99" s="4"/>
      <c r="S99" s="4"/>
    </row>
    <row r="100" spans="1:19" x14ac:dyDescent="0.25">
      <c r="A100" s="864"/>
      <c r="B100" s="4"/>
      <c r="C100" s="23"/>
      <c r="D100" s="23"/>
      <c r="E100" s="23"/>
      <c r="F100" s="23"/>
      <c r="G100" s="23"/>
      <c r="H100" s="23"/>
      <c r="I100" s="23"/>
      <c r="J100" s="23"/>
      <c r="K100" s="23"/>
      <c r="L100" s="23"/>
      <c r="M100" s="23"/>
      <c r="N100" s="4"/>
      <c r="O100" s="23"/>
      <c r="P100" s="23"/>
      <c r="Q100" s="4"/>
      <c r="R100" s="4"/>
      <c r="S100" s="4"/>
    </row>
    <row r="101" spans="1:19" x14ac:dyDescent="0.25">
      <c r="A101" s="864"/>
      <c r="B101" s="4"/>
      <c r="C101" s="23"/>
      <c r="D101" s="23"/>
      <c r="E101" s="23"/>
      <c r="F101" s="23"/>
      <c r="G101" s="23"/>
      <c r="H101" s="23"/>
      <c r="I101" s="23"/>
      <c r="J101" s="23"/>
      <c r="K101" s="23"/>
      <c r="L101" s="23"/>
      <c r="M101" s="23"/>
      <c r="N101" s="4"/>
      <c r="O101" s="23"/>
      <c r="P101" s="23"/>
      <c r="Q101" s="4"/>
      <c r="R101" s="4"/>
      <c r="S101" s="4"/>
    </row>
    <row r="102" spans="1:19" x14ac:dyDescent="0.25">
      <c r="A102" s="864"/>
      <c r="B102" s="4"/>
      <c r="C102" s="23"/>
      <c r="D102" s="23"/>
      <c r="E102" s="23"/>
      <c r="F102" s="23"/>
      <c r="G102" s="23"/>
      <c r="H102" s="23"/>
      <c r="I102" s="23"/>
      <c r="J102" s="23"/>
      <c r="K102" s="23"/>
      <c r="L102" s="23"/>
      <c r="M102" s="23"/>
      <c r="N102" s="4"/>
      <c r="O102" s="23"/>
      <c r="P102" s="23"/>
      <c r="Q102" s="4"/>
      <c r="R102" s="4"/>
      <c r="S102" s="4"/>
    </row>
    <row r="103" spans="1:19" x14ac:dyDescent="0.25">
      <c r="A103" s="864"/>
      <c r="B103" s="4"/>
      <c r="C103" s="23"/>
      <c r="D103" s="23"/>
      <c r="E103" s="23"/>
      <c r="F103" s="23"/>
      <c r="G103" s="23"/>
      <c r="H103" s="23"/>
      <c r="I103" s="23"/>
      <c r="J103" s="23"/>
      <c r="K103" s="23"/>
      <c r="L103" s="23"/>
      <c r="M103" s="23"/>
      <c r="N103" s="4"/>
      <c r="O103" s="23"/>
      <c r="P103" s="23"/>
      <c r="Q103" s="4"/>
      <c r="R103" s="4"/>
      <c r="S103" s="4"/>
    </row>
    <row r="104" spans="1:19" x14ac:dyDescent="0.25">
      <c r="A104" s="864"/>
      <c r="B104" s="4"/>
      <c r="C104" s="23"/>
      <c r="D104" s="23"/>
      <c r="E104" s="23"/>
      <c r="F104" s="23"/>
      <c r="G104" s="23"/>
      <c r="H104" s="23"/>
      <c r="I104" s="23"/>
      <c r="J104" s="23"/>
      <c r="K104" s="23"/>
      <c r="L104" s="23"/>
      <c r="M104" s="23"/>
      <c r="N104" s="4"/>
      <c r="O104" s="23"/>
      <c r="P104" s="23"/>
      <c r="Q104" s="4"/>
      <c r="R104" s="4"/>
      <c r="S104" s="4"/>
    </row>
    <row r="105" spans="1:19" x14ac:dyDescent="0.25">
      <c r="A105" s="864"/>
      <c r="B105" s="4"/>
      <c r="C105" s="23"/>
      <c r="D105" s="23"/>
      <c r="E105" s="23"/>
      <c r="F105" s="23"/>
      <c r="G105" s="23"/>
      <c r="H105" s="23"/>
      <c r="I105" s="23"/>
      <c r="J105" s="23"/>
      <c r="K105" s="23"/>
      <c r="L105" s="23"/>
      <c r="M105" s="23"/>
      <c r="N105" s="4"/>
      <c r="O105" s="23"/>
      <c r="P105" s="23"/>
      <c r="Q105" s="4"/>
      <c r="R105" s="4"/>
      <c r="S105" s="4"/>
    </row>
    <row r="106" spans="1:19" x14ac:dyDescent="0.25">
      <c r="C106" s="114"/>
    </row>
    <row r="107" spans="1:19" x14ac:dyDescent="0.25">
      <c r="C107" s="114"/>
    </row>
    <row r="108" spans="1:19" x14ac:dyDescent="0.25">
      <c r="C108" s="114"/>
    </row>
    <row r="109" spans="1:19" x14ac:dyDescent="0.25">
      <c r="C109" s="114"/>
    </row>
    <row r="110" spans="1:19" x14ac:dyDescent="0.25">
      <c r="C110" s="114"/>
    </row>
    <row r="111" spans="1:19" x14ac:dyDescent="0.25">
      <c r="C111" s="114"/>
    </row>
    <row r="112" spans="1:19" x14ac:dyDescent="0.25">
      <c r="C112" s="114"/>
    </row>
    <row r="113" spans="3:3" x14ac:dyDescent="0.25">
      <c r="C113" s="114"/>
    </row>
    <row r="114" spans="3:3" x14ac:dyDescent="0.25">
      <c r="C114" s="114"/>
    </row>
    <row r="115" spans="3:3" x14ac:dyDescent="0.25">
      <c r="C115" s="114"/>
    </row>
    <row r="116" spans="3:3" x14ac:dyDescent="0.25">
      <c r="C116" s="114"/>
    </row>
    <row r="117" spans="3:3" x14ac:dyDescent="0.25">
      <c r="C117" s="114"/>
    </row>
    <row r="118" spans="3:3" x14ac:dyDescent="0.25">
      <c r="C118" s="114"/>
    </row>
    <row r="119" spans="3:3" x14ac:dyDescent="0.25">
      <c r="C119" s="114"/>
    </row>
    <row r="120" spans="3:3" x14ac:dyDescent="0.25">
      <c r="C120" s="114"/>
    </row>
    <row r="121" spans="3:3" x14ac:dyDescent="0.25">
      <c r="C121" s="114"/>
    </row>
    <row r="122" spans="3:3" x14ac:dyDescent="0.25">
      <c r="C122" s="114"/>
    </row>
    <row r="123" spans="3:3" x14ac:dyDescent="0.25">
      <c r="C123" s="114"/>
    </row>
    <row r="124" spans="3:3" x14ac:dyDescent="0.25">
      <c r="C124" s="114"/>
    </row>
    <row r="125" spans="3:3" x14ac:dyDescent="0.25">
      <c r="C125" s="114"/>
    </row>
    <row r="126" spans="3:3" x14ac:dyDescent="0.25">
      <c r="C126" s="114"/>
    </row>
    <row r="127" spans="3:3" x14ac:dyDescent="0.25">
      <c r="C127" s="114"/>
    </row>
    <row r="128" spans="3:3" x14ac:dyDescent="0.25">
      <c r="C128" s="114"/>
    </row>
    <row r="129" spans="3:3" x14ac:dyDescent="0.25">
      <c r="C129" s="114"/>
    </row>
    <row r="130" spans="3:3" x14ac:dyDescent="0.25">
      <c r="C130" s="114"/>
    </row>
    <row r="131" spans="3:3" x14ac:dyDescent="0.25">
      <c r="C131" s="114"/>
    </row>
    <row r="132" spans="3:3" x14ac:dyDescent="0.25">
      <c r="C132" s="114"/>
    </row>
    <row r="133" spans="3:3" x14ac:dyDescent="0.25">
      <c r="C133" s="114"/>
    </row>
    <row r="134" spans="3:3" x14ac:dyDescent="0.25">
      <c r="C134" s="114"/>
    </row>
    <row r="135" spans="3:3" x14ac:dyDescent="0.25">
      <c r="C135" s="114"/>
    </row>
    <row r="136" spans="3:3" x14ac:dyDescent="0.25">
      <c r="C136" s="114"/>
    </row>
    <row r="137" spans="3:3" x14ac:dyDescent="0.25">
      <c r="C137" s="114"/>
    </row>
    <row r="138" spans="3:3" x14ac:dyDescent="0.25">
      <c r="C138" s="114"/>
    </row>
    <row r="139" spans="3:3" x14ac:dyDescent="0.25">
      <c r="C139" s="114"/>
    </row>
    <row r="140" spans="3:3" x14ac:dyDescent="0.25">
      <c r="C140" s="114"/>
    </row>
    <row r="141" spans="3:3" x14ac:dyDescent="0.25">
      <c r="C141" s="114"/>
    </row>
    <row r="142" spans="3:3" x14ac:dyDescent="0.25">
      <c r="C142" s="114"/>
    </row>
    <row r="143" spans="3:3" x14ac:dyDescent="0.25">
      <c r="C143" s="114"/>
    </row>
    <row r="144" spans="3:3" x14ac:dyDescent="0.25">
      <c r="C144" s="114"/>
    </row>
    <row r="145" spans="3:3" x14ac:dyDescent="0.25">
      <c r="C145" s="114"/>
    </row>
    <row r="146" spans="3:3" x14ac:dyDescent="0.25">
      <c r="C146" s="114"/>
    </row>
    <row r="147" spans="3:3" x14ac:dyDescent="0.25">
      <c r="C147" s="114"/>
    </row>
    <row r="148" spans="3:3" x14ac:dyDescent="0.25">
      <c r="C148" s="114"/>
    </row>
    <row r="149" spans="3:3" x14ac:dyDescent="0.25">
      <c r="C149" s="114"/>
    </row>
    <row r="150" spans="3:3" x14ac:dyDescent="0.25">
      <c r="C150" s="114"/>
    </row>
  </sheetData>
  <phoneticPr fontId="0" type="noConversion"/>
  <hyperlinks>
    <hyperlink ref="A1" location="'Working Budget with funding det'!A1" display="Main " xr:uid="{00000000-0004-0000-1D00-000000000000}"/>
    <hyperlink ref="B1" location="'Table of Contents'!A1" display="TOC" xr:uid="{00000000-0004-0000-1D00-000001000000}"/>
  </hyperlinks>
  <pageMargins left="0.75" right="0.75" top="1" bottom="1" header="0.5" footer="0.5"/>
  <pageSetup orientation="landscape" horizontalDpi="300" verticalDpi="300" r:id="rId1"/>
  <headerFooter alignWithMargins="0">
    <oddFooter>&amp;L&amp;D     &amp;T&amp;C&amp;F&amp;R&amp;A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92D050"/>
    <pageSetUpPr fitToPage="1"/>
  </sheetPr>
  <dimension ref="A1:T159"/>
  <sheetViews>
    <sheetView workbookViewId="0">
      <selection activeCell="B23" sqref="B23"/>
    </sheetView>
  </sheetViews>
  <sheetFormatPr defaultRowHeight="13.2" x14ac:dyDescent="0.25"/>
  <cols>
    <col min="1" max="1" width="10.77734375" style="885" bestFit="1" customWidth="1"/>
    <col min="2" max="2" width="36.6640625" customWidth="1"/>
    <col min="3" max="3" width="14.44140625" style="1" hidden="1" customWidth="1"/>
    <col min="4" max="10" width="14.44140625" style="114" hidden="1" customWidth="1"/>
    <col min="11" max="13" width="14.44140625" style="114" customWidth="1"/>
    <col min="14" max="14" width="14.44140625" customWidth="1"/>
    <col min="15" max="16" width="14.44140625" style="1" customWidth="1"/>
    <col min="17" max="19" width="14.44140625" customWidth="1"/>
    <col min="20" max="20" width="14.6640625" style="2" customWidth="1"/>
  </cols>
  <sheetData>
    <row r="1" spans="1:20" x14ac:dyDescent="0.25">
      <c r="A1" s="874" t="s">
        <v>1021</v>
      </c>
      <c r="B1" s="371" t="s">
        <v>1348</v>
      </c>
      <c r="P1"/>
    </row>
    <row r="2" spans="1:20" ht="13.8" x14ac:dyDescent="0.25">
      <c r="A2" s="875" t="s">
        <v>261</v>
      </c>
      <c r="B2" s="45"/>
      <c r="E2" s="141"/>
      <c r="I2" s="141" t="s">
        <v>257</v>
      </c>
      <c r="J2" s="141"/>
      <c r="K2" s="141"/>
      <c r="L2" s="141"/>
      <c r="M2" s="141"/>
      <c r="N2" s="61" t="s">
        <v>298</v>
      </c>
      <c r="P2" s="46" t="s">
        <v>489</v>
      </c>
    </row>
    <row r="3" spans="1:20" ht="13.8" thickBot="1" x14ac:dyDescent="0.3">
      <c r="A3" s="876"/>
      <c r="B3" s="4"/>
      <c r="C3" s="23"/>
      <c r="D3" s="23"/>
      <c r="E3" s="23"/>
      <c r="F3" s="23"/>
      <c r="G3" s="23"/>
      <c r="H3" s="23"/>
      <c r="I3" s="23"/>
      <c r="J3" s="23"/>
      <c r="K3" s="23"/>
      <c r="L3" s="23"/>
      <c r="M3" s="23"/>
      <c r="N3" s="4"/>
      <c r="O3" s="23"/>
      <c r="P3" s="4"/>
      <c r="S3" s="4"/>
    </row>
    <row r="4" spans="1:20" ht="13.8" thickTop="1" x14ac:dyDescent="0.25">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t="s">
        <v>910</v>
      </c>
    </row>
    <row r="5" spans="1:20" x14ac:dyDescent="0.25">
      <c r="A5" s="878"/>
      <c r="B5" s="209"/>
      <c r="C5" s="127"/>
      <c r="D5" s="87"/>
      <c r="E5" s="113"/>
      <c r="F5" s="87"/>
      <c r="G5" s="87"/>
      <c r="H5" s="113"/>
      <c r="I5" s="290"/>
      <c r="J5" s="290"/>
      <c r="K5" s="290"/>
      <c r="L5" s="290"/>
      <c r="M5" s="290"/>
      <c r="N5" s="113" t="s">
        <v>515</v>
      </c>
      <c r="O5" s="88" t="s">
        <v>7</v>
      </c>
      <c r="P5" s="203" t="s">
        <v>782</v>
      </c>
    </row>
    <row r="6" spans="1:20" x14ac:dyDescent="0.25">
      <c r="A6" s="878"/>
      <c r="B6" s="209"/>
      <c r="C6" s="127"/>
      <c r="D6" s="127"/>
      <c r="E6" s="127"/>
      <c r="F6" s="127"/>
      <c r="G6" s="127"/>
      <c r="H6" s="127"/>
      <c r="I6" s="88"/>
      <c r="J6" s="88"/>
      <c r="K6" s="88"/>
      <c r="L6" s="88"/>
      <c r="M6" s="88"/>
      <c r="N6" s="127"/>
      <c r="O6" s="88" t="s">
        <v>8</v>
      </c>
      <c r="P6" s="47" t="s">
        <v>543</v>
      </c>
    </row>
    <row r="7" spans="1:20"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44561</v>
      </c>
      <c r="O7" s="9" t="s">
        <v>9</v>
      </c>
      <c r="P7" s="9" t="s">
        <v>546</v>
      </c>
    </row>
    <row r="8" spans="1:20" ht="13.8" thickTop="1" x14ac:dyDescent="0.25">
      <c r="A8" s="908"/>
      <c r="B8" s="210"/>
      <c r="C8" s="132"/>
      <c r="D8" s="18"/>
      <c r="E8" s="18"/>
      <c r="F8" s="18"/>
      <c r="G8" s="18"/>
      <c r="H8" s="18"/>
      <c r="I8" s="19"/>
      <c r="J8" s="19"/>
      <c r="K8" s="19"/>
      <c r="L8" s="19"/>
      <c r="M8" s="19"/>
      <c r="N8" s="18"/>
      <c r="O8" s="19"/>
      <c r="P8" s="19"/>
    </row>
    <row r="9" spans="1:20" x14ac:dyDescent="0.25">
      <c r="A9" s="881">
        <v>5247</v>
      </c>
      <c r="B9" s="63" t="s">
        <v>89</v>
      </c>
      <c r="C9" s="130">
        <v>3000</v>
      </c>
      <c r="D9" s="144">
        <v>0</v>
      </c>
      <c r="E9" s="144">
        <v>300</v>
      </c>
      <c r="F9" s="144">
        <v>300</v>
      </c>
      <c r="G9" s="144">
        <v>395</v>
      </c>
      <c r="H9" s="144">
        <v>387.1</v>
      </c>
      <c r="I9" s="144">
        <v>387.1</v>
      </c>
      <c r="J9" s="144">
        <v>387.1</v>
      </c>
      <c r="K9" s="122">
        <v>395</v>
      </c>
      <c r="L9" s="144">
        <v>387.1</v>
      </c>
      <c r="M9" s="122">
        <v>395</v>
      </c>
      <c r="N9" s="13"/>
      <c r="O9" s="122">
        <v>395</v>
      </c>
      <c r="P9" s="122"/>
    </row>
    <row r="10" spans="1:20" x14ac:dyDescent="0.25">
      <c r="A10" s="881">
        <v>5300</v>
      </c>
      <c r="B10" s="63" t="s">
        <v>725</v>
      </c>
      <c r="C10" s="130"/>
      <c r="D10" s="144">
        <v>1050</v>
      </c>
      <c r="E10" s="144">
        <v>800</v>
      </c>
      <c r="F10" s="144"/>
      <c r="G10" s="144">
        <v>800</v>
      </c>
      <c r="H10" s="144">
        <v>800</v>
      </c>
      <c r="I10" s="144">
        <v>800</v>
      </c>
      <c r="J10" s="144">
        <v>800</v>
      </c>
      <c r="K10" s="122">
        <v>800</v>
      </c>
      <c r="L10" s="144">
        <v>800</v>
      </c>
      <c r="M10" s="122">
        <v>800</v>
      </c>
      <c r="N10" s="13">
        <v>800</v>
      </c>
      <c r="O10" s="122">
        <v>800</v>
      </c>
      <c r="P10" s="122"/>
    </row>
    <row r="11" spans="1:20" x14ac:dyDescent="0.25">
      <c r="A11" s="881">
        <v>5310</v>
      </c>
      <c r="B11" s="63" t="s">
        <v>184</v>
      </c>
      <c r="C11" s="130">
        <v>575</v>
      </c>
      <c r="D11" s="144">
        <v>322.38</v>
      </c>
      <c r="E11" s="144">
        <v>169.5</v>
      </c>
      <c r="F11" s="144">
        <v>261.10000000000002</v>
      </c>
      <c r="G11" s="144"/>
      <c r="H11" s="144"/>
      <c r="I11" s="144">
        <v>0</v>
      </c>
      <c r="J11" s="144">
        <v>490</v>
      </c>
      <c r="K11" s="122">
        <v>500</v>
      </c>
      <c r="L11" s="144">
        <v>20</v>
      </c>
      <c r="M11" s="122">
        <v>500</v>
      </c>
      <c r="N11" s="13">
        <v>483</v>
      </c>
      <c r="O11" s="122">
        <v>500</v>
      </c>
      <c r="P11" s="122"/>
    </row>
    <row r="12" spans="1:20" x14ac:dyDescent="0.25">
      <c r="A12" s="881">
        <v>5344</v>
      </c>
      <c r="B12" s="63" t="s">
        <v>142</v>
      </c>
      <c r="C12" s="130">
        <v>59.4</v>
      </c>
      <c r="D12" s="144">
        <v>61.64</v>
      </c>
      <c r="E12" s="144">
        <v>19.149999999999999</v>
      </c>
      <c r="F12" s="144"/>
      <c r="G12" s="144">
        <v>128.81</v>
      </c>
      <c r="H12" s="144"/>
      <c r="I12" s="144">
        <v>655.45</v>
      </c>
      <c r="J12" s="144">
        <v>507.9</v>
      </c>
      <c r="K12" s="122">
        <v>150</v>
      </c>
      <c r="L12" s="144">
        <v>646.01</v>
      </c>
      <c r="M12" s="122">
        <v>150</v>
      </c>
      <c r="N12" s="13"/>
      <c r="O12" s="122">
        <v>150</v>
      </c>
      <c r="P12" s="122"/>
    </row>
    <row r="13" spans="1:20" x14ac:dyDescent="0.25">
      <c r="A13" s="881">
        <v>5351</v>
      </c>
      <c r="B13" s="63" t="s">
        <v>90</v>
      </c>
      <c r="C13" s="132">
        <v>100</v>
      </c>
      <c r="D13" s="126">
        <v>100</v>
      </c>
      <c r="E13" s="126">
        <v>100</v>
      </c>
      <c r="F13" s="126">
        <v>100</v>
      </c>
      <c r="G13" s="126">
        <v>100</v>
      </c>
      <c r="H13" s="126">
        <v>100</v>
      </c>
      <c r="I13" s="126">
        <v>100</v>
      </c>
      <c r="J13" s="126"/>
      <c r="K13" s="124">
        <v>100</v>
      </c>
      <c r="L13" s="126"/>
      <c r="M13" s="124">
        <v>100</v>
      </c>
      <c r="N13" s="18"/>
      <c r="O13" s="124">
        <v>100</v>
      </c>
      <c r="P13" s="124"/>
    </row>
    <row r="14" spans="1:20" x14ac:dyDescent="0.25">
      <c r="A14" s="881">
        <v>5380</v>
      </c>
      <c r="B14" s="63" t="s">
        <v>736</v>
      </c>
      <c r="C14" s="132"/>
      <c r="D14" s="126">
        <v>10553.43</v>
      </c>
      <c r="E14" s="126">
        <v>14804.76</v>
      </c>
      <c r="F14" s="126">
        <v>15704.88</v>
      </c>
      <c r="G14" s="126">
        <v>16389.04</v>
      </c>
      <c r="H14" s="126">
        <v>16758.32</v>
      </c>
      <c r="I14" s="126">
        <v>17011.04</v>
      </c>
      <c r="J14" s="126">
        <v>17812.080000000002</v>
      </c>
      <c r="K14" s="124">
        <v>18169</v>
      </c>
      <c r="L14" s="126">
        <v>18084.68</v>
      </c>
      <c r="M14" s="124">
        <v>19282</v>
      </c>
      <c r="N14" s="18">
        <v>9042.34</v>
      </c>
      <c r="O14" s="124">
        <v>19520</v>
      </c>
      <c r="P14" s="124"/>
    </row>
    <row r="15" spans="1:20" ht="13.8" thickBot="1" x14ac:dyDescent="0.3">
      <c r="A15" s="881">
        <v>5420</v>
      </c>
      <c r="B15" s="63" t="s">
        <v>96</v>
      </c>
      <c r="C15" s="131">
        <v>135.41</v>
      </c>
      <c r="D15" s="318">
        <v>153.27000000000001</v>
      </c>
      <c r="E15" s="318">
        <v>159</v>
      </c>
      <c r="F15" s="318">
        <v>160.6</v>
      </c>
      <c r="G15" s="318">
        <v>181.75</v>
      </c>
      <c r="H15" s="318">
        <v>236.08</v>
      </c>
      <c r="I15" s="318">
        <v>203</v>
      </c>
      <c r="J15" s="318">
        <v>203</v>
      </c>
      <c r="K15" s="123">
        <v>300</v>
      </c>
      <c r="L15" s="318">
        <v>203.69</v>
      </c>
      <c r="M15" s="123">
        <v>300</v>
      </c>
      <c r="N15" s="15">
        <v>156.25</v>
      </c>
      <c r="O15" s="123">
        <v>300</v>
      </c>
      <c r="P15" s="123"/>
    </row>
    <row r="16" spans="1:20" x14ac:dyDescent="0.25">
      <c r="A16" s="881"/>
      <c r="B16" s="64" t="s">
        <v>449</v>
      </c>
      <c r="C16" s="132">
        <f t="shared" ref="C16:N16" si="0">SUM(C9:C15)</f>
        <v>3869.81</v>
      </c>
      <c r="D16" s="18">
        <f t="shared" si="0"/>
        <v>12240.720000000001</v>
      </c>
      <c r="E16" s="18">
        <f t="shared" si="0"/>
        <v>16352.41</v>
      </c>
      <c r="F16" s="18">
        <f t="shared" ref="F16:K16" si="1">SUM(F9:F15)</f>
        <v>16526.579999999998</v>
      </c>
      <c r="G16" s="18">
        <f t="shared" si="1"/>
        <v>17994.600000000002</v>
      </c>
      <c r="H16" s="18">
        <f t="shared" si="1"/>
        <v>18281.5</v>
      </c>
      <c r="I16" s="18">
        <f t="shared" si="1"/>
        <v>19156.59</v>
      </c>
      <c r="J16" s="18">
        <f t="shared" si="1"/>
        <v>20200.080000000002</v>
      </c>
      <c r="K16" s="19">
        <f t="shared" si="1"/>
        <v>20414</v>
      </c>
      <c r="L16" s="18">
        <f t="shared" ref="L16:M16" si="2">SUM(L9:L15)</f>
        <v>20141.48</v>
      </c>
      <c r="M16" s="19">
        <f t="shared" si="2"/>
        <v>21527</v>
      </c>
      <c r="N16" s="18">
        <f t="shared" si="0"/>
        <v>10481.59</v>
      </c>
      <c r="O16" s="19">
        <f>SUM(O9:O15)</f>
        <v>21765</v>
      </c>
      <c r="P16" s="19">
        <f>+O16</f>
        <v>21765</v>
      </c>
      <c r="T16"/>
    </row>
    <row r="17" spans="1:20" x14ac:dyDescent="0.25">
      <c r="A17" s="881"/>
      <c r="B17" s="64"/>
      <c r="C17" s="132"/>
      <c r="D17" s="18"/>
      <c r="E17" s="18"/>
      <c r="F17" s="18"/>
      <c r="G17" s="18"/>
      <c r="H17" s="18"/>
      <c r="I17" s="18"/>
      <c r="J17" s="18"/>
      <c r="K17" s="19"/>
      <c r="L17" s="18"/>
      <c r="M17" s="19"/>
      <c r="N17" s="18"/>
      <c r="O17" s="19"/>
      <c r="P17" s="19"/>
      <c r="T17"/>
    </row>
    <row r="18" spans="1:20" ht="13.8" hidden="1" thickBot="1" x14ac:dyDescent="0.3">
      <c r="A18" s="881">
        <v>5800</v>
      </c>
      <c r="B18" s="63" t="s">
        <v>1036</v>
      </c>
      <c r="C18" s="132"/>
      <c r="D18" s="18"/>
      <c r="E18" s="15"/>
      <c r="F18" s="15"/>
      <c r="G18" s="15"/>
      <c r="H18" s="15">
        <v>7883.74</v>
      </c>
      <c r="I18" s="15"/>
      <c r="J18" s="15"/>
      <c r="K18" s="16"/>
      <c r="L18" s="15"/>
      <c r="M18" s="16"/>
      <c r="N18" s="15"/>
      <c r="O18" s="16"/>
      <c r="P18" s="16"/>
      <c r="T18"/>
    </row>
    <row r="19" spans="1:20" hidden="1" x14ac:dyDescent="0.25">
      <c r="A19" s="881"/>
      <c r="B19" s="17" t="s">
        <v>136</v>
      </c>
      <c r="C19" s="18"/>
      <c r="D19" s="18"/>
      <c r="E19" s="18"/>
      <c r="F19" s="18"/>
      <c r="G19" s="18"/>
      <c r="H19" s="18">
        <f>SUM(H18)</f>
        <v>7883.74</v>
      </c>
      <c r="I19" s="18">
        <f>+I18</f>
        <v>0</v>
      </c>
      <c r="J19" s="18">
        <f>+J18</f>
        <v>0</v>
      </c>
      <c r="K19" s="19">
        <f>+K18</f>
        <v>0</v>
      </c>
      <c r="L19" s="18">
        <f t="shared" ref="L19:M19" si="3">+L18</f>
        <v>0</v>
      </c>
      <c r="M19" s="19">
        <f t="shared" si="3"/>
        <v>0</v>
      </c>
      <c r="N19" s="18"/>
      <c r="O19" s="19">
        <f>+O18</f>
        <v>0</v>
      </c>
      <c r="P19" s="19"/>
      <c r="T19"/>
    </row>
    <row r="20" spans="1:20" hidden="1" x14ac:dyDescent="0.25">
      <c r="A20" s="881"/>
      <c r="B20" s="12"/>
      <c r="C20" s="13"/>
      <c r="D20" s="13"/>
      <c r="E20" s="13"/>
      <c r="F20" s="13"/>
      <c r="G20" s="13"/>
      <c r="H20" s="13"/>
      <c r="I20" s="13"/>
      <c r="J20" s="13"/>
      <c r="K20" s="14"/>
      <c r="L20" s="13"/>
      <c r="M20" s="14"/>
      <c r="N20" s="13"/>
      <c r="O20" s="14"/>
      <c r="P20" s="14"/>
      <c r="T20"/>
    </row>
    <row r="21" spans="1:20" ht="13.8" thickBot="1" x14ac:dyDescent="0.3">
      <c r="A21" s="882"/>
      <c r="B21" s="20" t="s">
        <v>137</v>
      </c>
      <c r="C21" s="21">
        <f>+C16</f>
        <v>3869.81</v>
      </c>
      <c r="D21" s="21">
        <f>+D16</f>
        <v>12240.720000000001</v>
      </c>
      <c r="E21" s="21">
        <f>+E16</f>
        <v>16352.41</v>
      </c>
      <c r="F21" s="21">
        <f>+F16</f>
        <v>16526.579999999998</v>
      </c>
      <c r="G21" s="21">
        <f>+G16</f>
        <v>17994.600000000002</v>
      </c>
      <c r="H21" s="21">
        <f>+H16+H19</f>
        <v>26165.239999999998</v>
      </c>
      <c r="I21" s="21">
        <f>+I16+I19</f>
        <v>19156.59</v>
      </c>
      <c r="J21" s="21">
        <f>+J16+J19</f>
        <v>20200.080000000002</v>
      </c>
      <c r="K21" s="41">
        <f>+K19+K16</f>
        <v>20414</v>
      </c>
      <c r="L21" s="21">
        <f t="shared" ref="L21:M21" si="4">+L19+L16</f>
        <v>20141.48</v>
      </c>
      <c r="M21" s="41">
        <f t="shared" si="4"/>
        <v>21527</v>
      </c>
      <c r="N21" s="21">
        <f>+N16</f>
        <v>10481.59</v>
      </c>
      <c r="O21" s="41">
        <f>+O19+O16</f>
        <v>21765</v>
      </c>
      <c r="P21" s="41">
        <f>+O21</f>
        <v>21765</v>
      </c>
      <c r="T21"/>
    </row>
    <row r="22" spans="1:20" ht="13.8" thickTop="1" x14ac:dyDescent="0.25">
      <c r="A22" s="905"/>
      <c r="B22" s="83"/>
      <c r="C22" s="24"/>
      <c r="D22" s="24"/>
      <c r="E22" s="24"/>
      <c r="F22" s="24"/>
      <c r="G22" s="24"/>
      <c r="H22" s="24"/>
      <c r="I22" s="24"/>
      <c r="J22" s="24"/>
      <c r="K22" s="24"/>
      <c r="L22" s="24"/>
      <c r="M22" s="24"/>
      <c r="N22" s="25"/>
      <c r="O22" s="24"/>
      <c r="P22" s="25"/>
      <c r="R22" s="25"/>
      <c r="S22" s="25"/>
      <c r="T22"/>
    </row>
    <row r="23" spans="1:20" x14ac:dyDescent="0.25">
      <c r="A23" s="944">
        <v>44579</v>
      </c>
      <c r="B23" s="148" t="s">
        <v>1859</v>
      </c>
      <c r="C23" s="24"/>
      <c r="D23" s="24"/>
      <c r="E23" s="24"/>
      <c r="F23" s="24"/>
      <c r="G23" s="24"/>
      <c r="H23" s="24"/>
      <c r="I23" s="24"/>
      <c r="J23" s="24"/>
      <c r="K23" s="24"/>
      <c r="L23" s="24"/>
      <c r="M23" s="24"/>
      <c r="N23" s="25"/>
      <c r="O23" s="24"/>
      <c r="P23" s="25"/>
      <c r="R23" s="25"/>
      <c r="S23" s="25"/>
      <c r="T23"/>
    </row>
    <row r="24" spans="1:20" x14ac:dyDescent="0.25">
      <c r="A24" s="876"/>
      <c r="B24" s="4"/>
      <c r="C24" s="23"/>
      <c r="D24" s="23"/>
      <c r="E24" s="23"/>
      <c r="F24" s="23"/>
      <c r="G24" s="23"/>
      <c r="H24" s="23"/>
      <c r="I24" s="23"/>
      <c r="J24" s="23"/>
      <c r="K24" s="23"/>
      <c r="L24" s="23"/>
      <c r="M24" s="23"/>
      <c r="N24" s="27"/>
      <c r="O24" s="23"/>
      <c r="P24" s="27"/>
      <c r="Q24" s="27"/>
      <c r="R24" s="27"/>
      <c r="S24" s="27"/>
      <c r="T24"/>
    </row>
    <row r="25" spans="1:20" ht="13.8" thickBot="1" x14ac:dyDescent="0.3">
      <c r="A25" s="876"/>
      <c r="B25" s="4"/>
      <c r="C25" s="23"/>
      <c r="D25" s="23"/>
      <c r="E25" s="23"/>
      <c r="F25" s="23"/>
      <c r="G25" s="23"/>
      <c r="H25" s="23"/>
      <c r="I25" s="23"/>
      <c r="J25" s="23"/>
      <c r="K25" s="23"/>
      <c r="L25" s="23"/>
      <c r="M25" s="23"/>
      <c r="N25" s="27"/>
      <c r="O25" s="23"/>
      <c r="P25" s="23"/>
      <c r="Q25" s="27"/>
      <c r="R25" s="27"/>
      <c r="S25" s="27"/>
      <c r="T25"/>
    </row>
    <row r="26" spans="1:20" ht="13.8" thickTop="1" x14ac:dyDescent="0.25">
      <c r="A26" s="893"/>
      <c r="B26" s="452"/>
      <c r="C26" s="453" t="s">
        <v>127</v>
      </c>
      <c r="D26" s="454" t="s">
        <v>127</v>
      </c>
      <c r="E26" s="454" t="s">
        <v>127</v>
      </c>
      <c r="K26" s="455" t="s">
        <v>547</v>
      </c>
      <c r="L26" s="456" t="s">
        <v>9</v>
      </c>
      <c r="M26" s="457" t="s">
        <v>1073</v>
      </c>
      <c r="N26" s="456" t="s">
        <v>686</v>
      </c>
      <c r="O26" s="458"/>
      <c r="P26" s="457"/>
      <c r="Q26" s="27"/>
      <c r="R26" s="27"/>
      <c r="S26" s="27"/>
      <c r="T26"/>
    </row>
    <row r="27" spans="1:20" ht="13.8" thickBot="1" x14ac:dyDescent="0.3">
      <c r="A27" s="894" t="s">
        <v>128</v>
      </c>
      <c r="B27" s="459"/>
      <c r="C27" s="460" t="s">
        <v>347</v>
      </c>
      <c r="D27" s="460" t="s">
        <v>722</v>
      </c>
      <c r="E27" s="461" t="s">
        <v>737</v>
      </c>
      <c r="K27" s="462" t="s">
        <v>909</v>
      </c>
      <c r="L27" s="462" t="s">
        <v>910</v>
      </c>
      <c r="M27" s="461" t="s">
        <v>1075</v>
      </c>
      <c r="N27" s="463" t="s">
        <v>1075</v>
      </c>
      <c r="O27" s="464" t="s">
        <v>1074</v>
      </c>
      <c r="P27" s="462"/>
      <c r="Q27" s="27"/>
      <c r="R27" s="27"/>
      <c r="S27" s="27"/>
      <c r="T27"/>
    </row>
    <row r="28" spans="1:20" ht="13.8" thickTop="1" x14ac:dyDescent="0.25">
      <c r="A28" s="910"/>
      <c r="B28" s="480"/>
      <c r="C28" s="468"/>
      <c r="D28" s="468"/>
      <c r="E28" s="468"/>
      <c r="K28" s="469"/>
      <c r="L28" s="489"/>
      <c r="M28" s="490"/>
      <c r="N28" s="488"/>
      <c r="O28" s="470"/>
      <c r="P28" s="471"/>
      <c r="Q28" s="27"/>
      <c r="R28" s="27"/>
      <c r="S28" s="27"/>
      <c r="T28"/>
    </row>
    <row r="29" spans="1:20" x14ac:dyDescent="0.25">
      <c r="A29" s="907">
        <v>5247</v>
      </c>
      <c r="B29" s="472" t="s">
        <v>89</v>
      </c>
      <c r="C29" s="476">
        <v>3000</v>
      </c>
      <c r="D29" s="476">
        <v>0</v>
      </c>
      <c r="E29" s="476">
        <v>300</v>
      </c>
      <c r="K29" s="475">
        <f t="shared" ref="K29:K35" si="5">+M9</f>
        <v>395</v>
      </c>
      <c r="L29" s="519">
        <f t="shared" ref="L29:L35" si="6">+O9</f>
        <v>395</v>
      </c>
      <c r="M29" s="471">
        <f t="shared" ref="M29:M36" si="7">+L29-K29</f>
        <v>0</v>
      </c>
      <c r="N29" s="477" t="str">
        <f t="shared" ref="N29:N36" si="8">IF(K29+L29&lt;&gt;0,IF(K29&lt;&gt;0,IF(M29&lt;&gt;0,ROUND((+M29/K29),4),""),1),"")</f>
        <v/>
      </c>
      <c r="O29" s="470"/>
      <c r="P29" s="471"/>
      <c r="Q29" s="27"/>
      <c r="R29" s="27"/>
      <c r="S29" s="27"/>
      <c r="T29"/>
    </row>
    <row r="30" spans="1:20" x14ac:dyDescent="0.25">
      <c r="A30" s="907">
        <v>5300</v>
      </c>
      <c r="B30" s="472" t="s">
        <v>725</v>
      </c>
      <c r="C30" s="476"/>
      <c r="D30" s="476">
        <v>1050</v>
      </c>
      <c r="E30" s="476">
        <v>800</v>
      </c>
      <c r="K30" s="475">
        <f t="shared" si="5"/>
        <v>800</v>
      </c>
      <c r="L30" s="519">
        <f t="shared" si="6"/>
        <v>800</v>
      </c>
      <c r="M30" s="471">
        <f t="shared" si="7"/>
        <v>0</v>
      </c>
      <c r="N30" s="477" t="str">
        <f t="shared" si="8"/>
        <v/>
      </c>
      <c r="O30" s="470"/>
      <c r="P30" s="471"/>
      <c r="Q30" s="27"/>
      <c r="R30" s="27"/>
      <c r="S30" s="27"/>
      <c r="T30"/>
    </row>
    <row r="31" spans="1:20" x14ac:dyDescent="0.25">
      <c r="A31" s="907">
        <v>5310</v>
      </c>
      <c r="B31" s="472" t="s">
        <v>184</v>
      </c>
      <c r="C31" s="476">
        <v>575</v>
      </c>
      <c r="D31" s="476">
        <v>322.38</v>
      </c>
      <c r="E31" s="476">
        <v>169.5</v>
      </c>
      <c r="K31" s="475">
        <f t="shared" si="5"/>
        <v>500</v>
      </c>
      <c r="L31" s="519">
        <f t="shared" si="6"/>
        <v>500</v>
      </c>
      <c r="M31" s="471">
        <f t="shared" si="7"/>
        <v>0</v>
      </c>
      <c r="N31" s="477" t="str">
        <f t="shared" si="8"/>
        <v/>
      </c>
      <c r="O31" s="470"/>
      <c r="P31" s="471"/>
      <c r="Q31" s="27"/>
      <c r="R31" s="27"/>
      <c r="S31" s="27"/>
      <c r="T31"/>
    </row>
    <row r="32" spans="1:20" x14ac:dyDescent="0.25">
      <c r="A32" s="907">
        <v>5344</v>
      </c>
      <c r="B32" s="472" t="s">
        <v>142</v>
      </c>
      <c r="C32" s="476">
        <v>59.4</v>
      </c>
      <c r="D32" s="476">
        <v>61.64</v>
      </c>
      <c r="E32" s="476">
        <v>19.149999999999999</v>
      </c>
      <c r="K32" s="475">
        <f t="shared" si="5"/>
        <v>150</v>
      </c>
      <c r="L32" s="519">
        <f t="shared" si="6"/>
        <v>150</v>
      </c>
      <c r="M32" s="471">
        <f t="shared" si="7"/>
        <v>0</v>
      </c>
      <c r="N32" s="477" t="str">
        <f t="shared" si="8"/>
        <v/>
      </c>
      <c r="O32" s="470"/>
      <c r="P32" s="471"/>
      <c r="Q32" s="27"/>
      <c r="R32" s="27"/>
      <c r="S32" s="27"/>
      <c r="T32"/>
    </row>
    <row r="33" spans="1:20" x14ac:dyDescent="0.25">
      <c r="A33" s="907">
        <v>5351</v>
      </c>
      <c r="B33" s="472" t="s">
        <v>90</v>
      </c>
      <c r="C33" s="468">
        <v>100</v>
      </c>
      <c r="D33" s="468">
        <v>100</v>
      </c>
      <c r="E33" s="468">
        <v>100</v>
      </c>
      <c r="K33" s="475">
        <f t="shared" si="5"/>
        <v>100</v>
      </c>
      <c r="L33" s="519">
        <f t="shared" si="6"/>
        <v>100</v>
      </c>
      <c r="M33" s="471">
        <f t="shared" si="7"/>
        <v>0</v>
      </c>
      <c r="N33" s="477" t="str">
        <f t="shared" si="8"/>
        <v/>
      </c>
      <c r="O33" s="470"/>
      <c r="P33" s="471"/>
      <c r="Q33" s="27"/>
      <c r="R33" s="27"/>
      <c r="S33" s="27"/>
      <c r="T33"/>
    </row>
    <row r="34" spans="1:20" x14ac:dyDescent="0.25">
      <c r="A34" s="907">
        <v>5380</v>
      </c>
      <c r="B34" s="472" t="s">
        <v>736</v>
      </c>
      <c r="C34" s="468"/>
      <c r="D34" s="468">
        <v>10553.43</v>
      </c>
      <c r="E34" s="468">
        <v>14804.76</v>
      </c>
      <c r="K34" s="475">
        <f t="shared" si="5"/>
        <v>19282</v>
      </c>
      <c r="L34" s="519">
        <f t="shared" si="6"/>
        <v>19520</v>
      </c>
      <c r="M34" s="471">
        <f t="shared" si="7"/>
        <v>238</v>
      </c>
      <c r="N34" s="477">
        <f t="shared" si="8"/>
        <v>1.23E-2</v>
      </c>
      <c r="O34" s="470"/>
      <c r="P34" s="471"/>
      <c r="Q34" s="27"/>
      <c r="R34" s="27"/>
      <c r="S34" s="27"/>
      <c r="T34"/>
    </row>
    <row r="35" spans="1:20" ht="13.8" thickBot="1" x14ac:dyDescent="0.3">
      <c r="A35" s="907">
        <v>5420</v>
      </c>
      <c r="B35" s="472" t="s">
        <v>96</v>
      </c>
      <c r="C35" s="474">
        <v>135.41</v>
      </c>
      <c r="D35" s="474">
        <v>153.27000000000001</v>
      </c>
      <c r="E35" s="474">
        <v>159</v>
      </c>
      <c r="K35" s="475">
        <f t="shared" si="5"/>
        <v>300</v>
      </c>
      <c r="L35" s="519">
        <f t="shared" si="6"/>
        <v>300</v>
      </c>
      <c r="M35" s="471">
        <f t="shared" si="7"/>
        <v>0</v>
      </c>
      <c r="N35" s="477" t="str">
        <f t="shared" si="8"/>
        <v/>
      </c>
      <c r="O35" s="470"/>
      <c r="P35" s="471"/>
      <c r="Q35" s="27"/>
      <c r="R35" s="27"/>
      <c r="S35" s="27"/>
      <c r="T35"/>
    </row>
    <row r="36" spans="1:20" ht="13.8" thickBot="1" x14ac:dyDescent="0.3">
      <c r="A36" s="907">
        <v>5800</v>
      </c>
      <c r="B36" s="472" t="s">
        <v>1036</v>
      </c>
      <c r="C36" s="468"/>
      <c r="D36" s="468"/>
      <c r="E36" s="474"/>
      <c r="K36" s="475"/>
      <c r="L36" s="519">
        <f>+O18</f>
        <v>0</v>
      </c>
      <c r="M36" s="471">
        <f t="shared" si="7"/>
        <v>0</v>
      </c>
      <c r="N36" s="477" t="str">
        <f t="shared" si="8"/>
        <v/>
      </c>
      <c r="O36" s="470"/>
      <c r="P36" s="471"/>
      <c r="Q36" s="27"/>
      <c r="R36" s="27"/>
      <c r="S36" s="27"/>
      <c r="T36"/>
    </row>
    <row r="37" spans="1:20" x14ac:dyDescent="0.25">
      <c r="A37" s="876"/>
      <c r="B37" s="4"/>
      <c r="C37" s="23"/>
      <c r="D37" s="23"/>
      <c r="E37" s="23"/>
      <c r="F37" s="23"/>
      <c r="G37" s="23"/>
      <c r="K37" s="23"/>
      <c r="L37" s="23"/>
      <c r="M37" s="23"/>
      <c r="N37" s="27"/>
      <c r="O37" s="23"/>
      <c r="P37" s="23"/>
      <c r="Q37" s="27"/>
      <c r="R37" s="27"/>
      <c r="S37" s="27"/>
      <c r="T37"/>
    </row>
    <row r="38" spans="1:20" x14ac:dyDescent="0.25">
      <c r="A38" s="876"/>
      <c r="B38" s="4" t="s">
        <v>1363</v>
      </c>
      <c r="C38" s="23"/>
      <c r="D38" s="23"/>
      <c r="E38" s="23"/>
      <c r="F38" s="23"/>
      <c r="G38" s="23"/>
      <c r="K38" s="742">
        <f>SUM(K27:K37)</f>
        <v>21527</v>
      </c>
      <c r="L38" s="742">
        <f>SUM(L27:L37)</f>
        <v>21765</v>
      </c>
      <c r="M38" s="202">
        <f>+L38-K38</f>
        <v>238</v>
      </c>
      <c r="N38" s="743">
        <f>IF(K38+L38&lt;&gt;0,IF(K38&lt;&gt;0,IF(M38&lt;&gt;0,ROUND((+M38/K38),4),""),1),"")</f>
        <v>1.11E-2</v>
      </c>
      <c r="O38" s="23"/>
      <c r="P38" s="23"/>
      <c r="Q38" s="27"/>
      <c r="R38" s="27"/>
      <c r="S38" s="27"/>
      <c r="T38"/>
    </row>
    <row r="39" spans="1:20" x14ac:dyDescent="0.25">
      <c r="A39" s="876"/>
      <c r="B39" s="4"/>
      <c r="C39" s="23"/>
      <c r="D39" s="23"/>
      <c r="E39" s="23"/>
      <c r="F39" s="23"/>
      <c r="G39" s="23"/>
      <c r="H39" s="23"/>
      <c r="I39" s="23"/>
      <c r="J39" s="23"/>
      <c r="K39" s="23"/>
      <c r="L39" s="23"/>
      <c r="M39" s="23"/>
      <c r="N39" s="27"/>
      <c r="O39" s="23"/>
      <c r="P39" s="23"/>
      <c r="Q39" s="27"/>
      <c r="R39" s="27"/>
      <c r="S39" s="27"/>
      <c r="T39"/>
    </row>
    <row r="40" spans="1:20" x14ac:dyDescent="0.25">
      <c r="A40" s="876"/>
      <c r="B40" s="4"/>
      <c r="C40" s="23"/>
      <c r="D40" s="23"/>
      <c r="E40" s="23"/>
      <c r="F40" s="23"/>
      <c r="G40" s="23"/>
      <c r="H40" s="23"/>
      <c r="I40" s="23"/>
      <c r="J40" s="23"/>
      <c r="K40" s="23"/>
      <c r="L40" s="23"/>
      <c r="M40" s="23"/>
      <c r="N40" s="27"/>
      <c r="O40" s="23"/>
      <c r="P40" s="23"/>
      <c r="Q40" s="27"/>
      <c r="R40" s="27"/>
      <c r="S40" s="27"/>
      <c r="T40"/>
    </row>
    <row r="41" spans="1:20" x14ac:dyDescent="0.25">
      <c r="A41" s="876"/>
      <c r="B41" s="4"/>
      <c r="C41" s="23"/>
      <c r="D41" s="23"/>
      <c r="E41" s="23"/>
      <c r="F41" s="23"/>
      <c r="G41" s="23"/>
      <c r="H41" s="23"/>
      <c r="I41" s="23"/>
      <c r="J41" s="23"/>
      <c r="K41" s="23"/>
      <c r="L41" s="23"/>
      <c r="M41" s="23"/>
      <c r="N41" s="27"/>
      <c r="O41" s="23"/>
      <c r="P41" s="23"/>
      <c r="Q41" s="27"/>
      <c r="R41" s="27"/>
      <c r="S41" s="27"/>
      <c r="T41"/>
    </row>
    <row r="42" spans="1:20" x14ac:dyDescent="0.25">
      <c r="A42" s="876"/>
      <c r="B42" s="4"/>
      <c r="C42" s="23"/>
      <c r="D42" s="23"/>
      <c r="E42" s="23"/>
      <c r="F42" s="23"/>
      <c r="G42" s="23"/>
      <c r="H42" s="23"/>
      <c r="I42" s="23"/>
      <c r="J42" s="23"/>
      <c r="K42" s="23"/>
      <c r="L42" s="23"/>
      <c r="M42" s="23"/>
      <c r="N42" s="27"/>
      <c r="O42" s="23"/>
      <c r="P42" s="23"/>
      <c r="Q42" s="27"/>
      <c r="R42" s="27"/>
      <c r="S42" s="27"/>
      <c r="T42"/>
    </row>
    <row r="43" spans="1:20" x14ac:dyDescent="0.25">
      <c r="A43" s="876"/>
      <c r="B43" s="4"/>
      <c r="C43" s="23"/>
      <c r="D43" s="23"/>
      <c r="E43" s="23"/>
      <c r="F43" s="23"/>
      <c r="G43" s="23"/>
      <c r="H43" s="23"/>
      <c r="I43" s="23"/>
      <c r="J43" s="23"/>
      <c r="K43" s="23"/>
      <c r="L43" s="23"/>
      <c r="M43" s="23"/>
      <c r="N43" s="27"/>
      <c r="O43" s="23"/>
      <c r="P43" s="23"/>
      <c r="Q43" s="27"/>
      <c r="R43" s="27"/>
      <c r="S43" s="27"/>
      <c r="T43"/>
    </row>
    <row r="44" spans="1:20" x14ac:dyDescent="0.25">
      <c r="A44" s="876"/>
      <c r="B44" s="4"/>
      <c r="C44" s="23"/>
      <c r="D44" s="23"/>
      <c r="E44" s="23"/>
      <c r="F44" s="23"/>
      <c r="G44" s="23"/>
      <c r="H44" s="23"/>
      <c r="I44" s="23"/>
      <c r="J44" s="23"/>
      <c r="K44" s="23"/>
      <c r="L44" s="23"/>
      <c r="M44" s="23"/>
      <c r="N44" s="27"/>
      <c r="O44" s="23"/>
      <c r="P44" s="23"/>
      <c r="Q44" s="27"/>
      <c r="R44" s="27"/>
      <c r="S44" s="27"/>
      <c r="T44"/>
    </row>
    <row r="45" spans="1:20" x14ac:dyDescent="0.25">
      <c r="A45" s="876"/>
      <c r="B45" s="4"/>
      <c r="C45" s="23"/>
      <c r="D45" s="23"/>
      <c r="E45" s="23"/>
      <c r="F45" s="23"/>
      <c r="G45" s="23"/>
      <c r="H45" s="23"/>
      <c r="I45" s="23"/>
      <c r="J45" s="23"/>
      <c r="K45" s="23"/>
      <c r="L45" s="23"/>
      <c r="M45" s="23"/>
      <c r="N45" s="4"/>
      <c r="O45" s="23"/>
      <c r="P45" s="23"/>
      <c r="Q45" s="4"/>
      <c r="R45" s="4"/>
      <c r="S45" s="4"/>
      <c r="T45"/>
    </row>
    <row r="46" spans="1:20" x14ac:dyDescent="0.25">
      <c r="A46" s="876"/>
      <c r="B46" s="4"/>
      <c r="C46" s="23"/>
      <c r="D46" s="23"/>
      <c r="E46" s="23"/>
      <c r="F46" s="23"/>
      <c r="G46" s="23"/>
      <c r="H46" s="23"/>
      <c r="I46" s="23"/>
      <c r="J46" s="23"/>
      <c r="K46" s="23"/>
      <c r="L46" s="23"/>
      <c r="M46" s="23"/>
      <c r="N46" s="4"/>
      <c r="O46" s="23"/>
      <c r="P46" s="23"/>
      <c r="Q46" s="4"/>
      <c r="R46" s="4"/>
      <c r="S46" s="4"/>
      <c r="T46"/>
    </row>
    <row r="47" spans="1:20" x14ac:dyDescent="0.25">
      <c r="A47" s="876"/>
      <c r="B47" s="4"/>
      <c r="C47" s="23"/>
      <c r="D47" s="23"/>
      <c r="E47" s="23"/>
      <c r="F47" s="23"/>
      <c r="G47" s="23"/>
      <c r="H47" s="23"/>
      <c r="I47" s="23"/>
      <c r="J47" s="23"/>
      <c r="K47" s="23"/>
      <c r="L47" s="23"/>
      <c r="M47" s="23"/>
      <c r="N47" s="4"/>
      <c r="O47" s="23"/>
      <c r="P47" s="23"/>
      <c r="Q47" s="4"/>
      <c r="R47" s="4"/>
      <c r="S47" s="4"/>
      <c r="T47"/>
    </row>
    <row r="48" spans="1:20" x14ac:dyDescent="0.25">
      <c r="A48" s="876"/>
      <c r="B48" s="4"/>
      <c r="C48" s="23"/>
      <c r="D48" s="23"/>
      <c r="E48" s="23"/>
      <c r="F48" s="23"/>
      <c r="G48" s="23"/>
      <c r="H48" s="23"/>
      <c r="I48" s="23"/>
      <c r="J48" s="23"/>
      <c r="K48" s="23"/>
      <c r="L48" s="23"/>
      <c r="M48" s="23"/>
      <c r="N48" s="4"/>
      <c r="O48" s="23"/>
      <c r="P48" s="23"/>
      <c r="Q48" s="4"/>
      <c r="R48" s="4"/>
      <c r="S48" s="4"/>
      <c r="T48"/>
    </row>
    <row r="49" spans="1:20" x14ac:dyDescent="0.25">
      <c r="A49" s="876"/>
      <c r="B49" s="4"/>
      <c r="C49" s="23"/>
      <c r="D49" s="23"/>
      <c r="E49" s="23"/>
      <c r="F49" s="23"/>
      <c r="G49" s="23"/>
      <c r="H49" s="23"/>
      <c r="I49" s="23"/>
      <c r="J49" s="23"/>
      <c r="K49" s="23"/>
      <c r="L49" s="23"/>
      <c r="M49" s="23"/>
      <c r="N49" s="4"/>
      <c r="O49" s="23"/>
      <c r="P49" s="23"/>
      <c r="Q49" s="4"/>
      <c r="R49" s="4"/>
      <c r="S49" s="4"/>
      <c r="T49"/>
    </row>
    <row r="50" spans="1:20" x14ac:dyDescent="0.25">
      <c r="A50" s="876"/>
      <c r="B50" s="4"/>
      <c r="C50" s="23"/>
      <c r="D50" s="23"/>
      <c r="E50" s="23"/>
      <c r="F50" s="23"/>
      <c r="G50" s="23"/>
      <c r="H50" s="23"/>
      <c r="I50" s="23"/>
      <c r="J50" s="23"/>
      <c r="K50" s="23"/>
      <c r="L50" s="23"/>
      <c r="M50" s="23"/>
      <c r="N50" s="4"/>
      <c r="O50" s="23"/>
      <c r="P50" s="23"/>
      <c r="Q50" s="4"/>
      <c r="R50" s="4"/>
      <c r="S50" s="4"/>
      <c r="T50"/>
    </row>
    <row r="51" spans="1:20" x14ac:dyDescent="0.25">
      <c r="A51" s="876"/>
      <c r="B51" s="4"/>
      <c r="C51" s="23"/>
      <c r="D51" s="23"/>
      <c r="E51" s="23"/>
      <c r="F51" s="23"/>
      <c r="G51" s="23"/>
      <c r="H51" s="23"/>
      <c r="I51" s="23"/>
      <c r="J51" s="23"/>
      <c r="K51" s="23"/>
      <c r="L51" s="23"/>
      <c r="M51" s="23"/>
      <c r="N51" s="4"/>
      <c r="O51" s="23"/>
      <c r="P51" s="23"/>
      <c r="Q51" s="4"/>
      <c r="R51" s="4"/>
      <c r="S51" s="4"/>
      <c r="T51"/>
    </row>
    <row r="52" spans="1:20" x14ac:dyDescent="0.25">
      <c r="A52" s="876"/>
      <c r="B52" s="4"/>
      <c r="C52" s="23"/>
      <c r="D52" s="23"/>
      <c r="E52" s="23"/>
      <c r="F52" s="23"/>
      <c r="G52" s="23"/>
      <c r="H52" s="23"/>
      <c r="I52" s="23"/>
      <c r="J52" s="23"/>
      <c r="K52" s="23"/>
      <c r="L52" s="23"/>
      <c r="M52" s="23"/>
      <c r="N52" s="4"/>
      <c r="O52" s="23"/>
      <c r="P52" s="23"/>
      <c r="Q52" s="4"/>
      <c r="R52" s="4"/>
      <c r="S52" s="4"/>
      <c r="T52"/>
    </row>
    <row r="53" spans="1:20" x14ac:dyDescent="0.25">
      <c r="A53" s="876"/>
      <c r="B53" s="4"/>
      <c r="C53" s="23"/>
      <c r="D53" s="23"/>
      <c r="E53" s="23"/>
      <c r="F53" s="23"/>
      <c r="G53" s="23"/>
      <c r="H53" s="23"/>
      <c r="I53" s="23"/>
      <c r="J53" s="23"/>
      <c r="K53" s="23"/>
      <c r="L53" s="23"/>
      <c r="M53" s="23"/>
      <c r="N53" s="4"/>
      <c r="O53" s="23"/>
      <c r="P53" s="23"/>
      <c r="Q53" s="4"/>
      <c r="R53" s="4"/>
      <c r="S53" s="4"/>
      <c r="T53"/>
    </row>
    <row r="54" spans="1:20" x14ac:dyDescent="0.25">
      <c r="A54" s="876"/>
      <c r="B54" s="4"/>
      <c r="C54" s="23"/>
      <c r="D54" s="23"/>
      <c r="E54" s="23"/>
      <c r="F54" s="23"/>
      <c r="G54" s="23"/>
      <c r="H54" s="23"/>
      <c r="I54" s="23"/>
      <c r="J54" s="23"/>
      <c r="K54" s="23"/>
      <c r="L54" s="23"/>
      <c r="M54" s="23"/>
      <c r="N54" s="4"/>
      <c r="O54" s="23"/>
      <c r="P54" s="23"/>
      <c r="Q54" s="4"/>
      <c r="R54" s="4"/>
      <c r="S54" s="4"/>
      <c r="T54"/>
    </row>
    <row r="55" spans="1:20" x14ac:dyDescent="0.25">
      <c r="A55" s="876"/>
      <c r="B55" s="4"/>
      <c r="C55" s="23"/>
      <c r="D55" s="23"/>
      <c r="E55" s="23"/>
      <c r="F55" s="23"/>
      <c r="G55" s="23"/>
      <c r="H55" s="23"/>
      <c r="I55" s="23"/>
      <c r="J55" s="23"/>
      <c r="K55" s="23"/>
      <c r="L55" s="23"/>
      <c r="M55" s="23"/>
      <c r="N55" s="4"/>
      <c r="O55" s="23"/>
      <c r="P55" s="23"/>
      <c r="Q55" s="4"/>
      <c r="R55" s="4"/>
      <c r="S55" s="4"/>
      <c r="T55"/>
    </row>
    <row r="56" spans="1:20" x14ac:dyDescent="0.25">
      <c r="A56" s="876"/>
      <c r="B56" s="4"/>
      <c r="C56" s="23"/>
      <c r="D56" s="23"/>
      <c r="E56" s="23"/>
      <c r="F56" s="23"/>
      <c r="G56" s="23"/>
      <c r="H56" s="23"/>
      <c r="I56" s="23"/>
      <c r="J56" s="23"/>
      <c r="K56" s="23"/>
      <c r="L56" s="23"/>
      <c r="M56" s="23"/>
      <c r="N56" s="4"/>
      <c r="O56" s="23"/>
      <c r="P56" s="23"/>
      <c r="Q56" s="4"/>
      <c r="R56" s="4"/>
      <c r="S56" s="4"/>
      <c r="T56"/>
    </row>
    <row r="57" spans="1:20" x14ac:dyDescent="0.25">
      <c r="A57" s="876"/>
      <c r="B57" s="4"/>
      <c r="C57" s="23"/>
      <c r="D57" s="23"/>
      <c r="E57" s="23"/>
      <c r="F57" s="23"/>
      <c r="G57" s="23"/>
      <c r="H57" s="23"/>
      <c r="I57" s="23"/>
      <c r="J57" s="23"/>
      <c r="K57" s="23"/>
      <c r="L57" s="23"/>
      <c r="M57" s="23"/>
      <c r="N57" s="4"/>
      <c r="O57" s="23"/>
      <c r="P57" s="23"/>
      <c r="Q57" s="4"/>
      <c r="R57" s="4"/>
      <c r="S57" s="4"/>
      <c r="T57"/>
    </row>
    <row r="58" spans="1:20" x14ac:dyDescent="0.25">
      <c r="A58" s="876"/>
      <c r="B58" s="4"/>
      <c r="C58" s="23"/>
      <c r="D58" s="23"/>
      <c r="E58" s="23"/>
      <c r="F58" s="23"/>
      <c r="G58" s="23"/>
      <c r="H58" s="23"/>
      <c r="I58" s="23"/>
      <c r="J58" s="23"/>
      <c r="K58" s="23"/>
      <c r="L58" s="23"/>
      <c r="M58" s="23"/>
      <c r="N58" s="4"/>
      <c r="O58" s="23"/>
      <c r="P58" s="23"/>
      <c r="Q58" s="4"/>
      <c r="R58" s="4"/>
      <c r="S58" s="4"/>
      <c r="T58"/>
    </row>
    <row r="59" spans="1:20" x14ac:dyDescent="0.25">
      <c r="A59" s="876"/>
      <c r="B59" s="4"/>
      <c r="C59" s="23"/>
      <c r="D59" s="23"/>
      <c r="E59" s="23"/>
      <c r="F59" s="23"/>
      <c r="G59" s="23"/>
      <c r="H59" s="23"/>
      <c r="I59" s="23"/>
      <c r="J59" s="23"/>
      <c r="K59" s="23"/>
      <c r="L59" s="23"/>
      <c r="M59" s="23"/>
      <c r="N59" s="4"/>
      <c r="O59" s="23"/>
      <c r="P59" s="23"/>
      <c r="Q59" s="4"/>
      <c r="R59" s="4"/>
      <c r="S59" s="4"/>
      <c r="T59"/>
    </row>
    <row r="60" spans="1:20" x14ac:dyDescent="0.25">
      <c r="A60" s="876"/>
      <c r="B60" s="4"/>
      <c r="C60" s="23"/>
      <c r="D60" s="23"/>
      <c r="E60" s="23"/>
      <c r="F60" s="23"/>
      <c r="G60" s="23"/>
      <c r="H60" s="23"/>
      <c r="I60" s="23"/>
      <c r="J60" s="23"/>
      <c r="K60" s="23"/>
      <c r="L60" s="23"/>
      <c r="M60" s="23"/>
      <c r="N60" s="4"/>
      <c r="O60" s="23"/>
      <c r="P60" s="23"/>
      <c r="Q60" s="4"/>
      <c r="R60" s="4"/>
      <c r="S60" s="4"/>
      <c r="T60"/>
    </row>
    <row r="61" spans="1:20" x14ac:dyDescent="0.25">
      <c r="A61" s="876"/>
      <c r="B61" s="4"/>
      <c r="C61" s="23"/>
      <c r="D61" s="23"/>
      <c r="E61" s="23"/>
      <c r="F61" s="23"/>
      <c r="G61" s="23"/>
      <c r="H61" s="23"/>
      <c r="I61" s="23"/>
      <c r="J61" s="23"/>
      <c r="K61" s="23"/>
      <c r="L61" s="23"/>
      <c r="M61" s="23"/>
      <c r="N61" s="4"/>
      <c r="O61" s="23"/>
      <c r="P61" s="23"/>
      <c r="Q61" s="4"/>
      <c r="R61" s="4"/>
      <c r="S61" s="4"/>
      <c r="T61"/>
    </row>
    <row r="62" spans="1:20" x14ac:dyDescent="0.25">
      <c r="A62" s="876"/>
      <c r="B62" s="4"/>
      <c r="C62" s="23"/>
      <c r="D62" s="23"/>
      <c r="E62" s="23"/>
      <c r="F62" s="23"/>
      <c r="G62" s="23"/>
      <c r="H62" s="23"/>
      <c r="I62" s="23"/>
      <c r="J62" s="23"/>
      <c r="K62" s="23"/>
      <c r="L62" s="23"/>
      <c r="M62" s="23"/>
      <c r="N62" s="4"/>
      <c r="O62" s="23"/>
      <c r="P62" s="23"/>
      <c r="Q62" s="4"/>
      <c r="R62" s="4"/>
      <c r="S62" s="4"/>
      <c r="T62"/>
    </row>
    <row r="63" spans="1:20" x14ac:dyDescent="0.25">
      <c r="A63" s="876"/>
      <c r="B63" s="4"/>
      <c r="C63" s="23"/>
      <c r="D63" s="23"/>
      <c r="E63" s="23"/>
      <c r="F63" s="23"/>
      <c r="G63" s="23"/>
      <c r="H63" s="23"/>
      <c r="I63" s="23"/>
      <c r="J63" s="23"/>
      <c r="K63" s="23"/>
      <c r="L63" s="23"/>
      <c r="M63" s="23"/>
      <c r="N63" s="4"/>
      <c r="O63" s="23"/>
      <c r="P63" s="23"/>
      <c r="Q63" s="4"/>
      <c r="R63" s="4"/>
      <c r="S63" s="4"/>
      <c r="T63"/>
    </row>
    <row r="64" spans="1:20" x14ac:dyDescent="0.25">
      <c r="A64" s="876"/>
      <c r="B64" s="4"/>
      <c r="C64" s="23"/>
      <c r="D64" s="23"/>
      <c r="E64" s="23"/>
      <c r="F64" s="23"/>
      <c r="G64" s="23"/>
      <c r="H64" s="23"/>
      <c r="I64" s="23"/>
      <c r="J64" s="23"/>
      <c r="K64" s="23"/>
      <c r="L64" s="23"/>
      <c r="M64" s="23"/>
      <c r="N64" s="4"/>
      <c r="O64" s="23"/>
      <c r="P64" s="23"/>
      <c r="Q64" s="4"/>
      <c r="R64" s="4"/>
      <c r="S64" s="4"/>
      <c r="T64"/>
    </row>
    <row r="65" spans="1:20" x14ac:dyDescent="0.25">
      <c r="A65" s="876"/>
      <c r="B65" s="4"/>
      <c r="C65" s="23"/>
      <c r="D65" s="23"/>
      <c r="E65" s="23"/>
      <c r="F65" s="23"/>
      <c r="G65" s="23"/>
      <c r="H65" s="23"/>
      <c r="I65" s="23"/>
      <c r="J65" s="23"/>
      <c r="K65" s="23"/>
      <c r="L65" s="23"/>
      <c r="M65" s="23"/>
      <c r="N65" s="4"/>
      <c r="O65" s="23"/>
      <c r="P65" s="23"/>
      <c r="Q65" s="4"/>
      <c r="R65" s="4"/>
      <c r="S65" s="4"/>
      <c r="T65"/>
    </row>
    <row r="66" spans="1:20" x14ac:dyDescent="0.25">
      <c r="A66" s="876"/>
      <c r="B66" s="4"/>
      <c r="C66" s="23"/>
      <c r="D66" s="23"/>
      <c r="E66" s="23"/>
      <c r="F66" s="23"/>
      <c r="G66" s="23"/>
      <c r="H66" s="23"/>
      <c r="I66" s="23"/>
      <c r="J66" s="23"/>
      <c r="K66" s="23"/>
      <c r="L66" s="23"/>
      <c r="M66" s="23"/>
      <c r="N66" s="4"/>
      <c r="O66" s="23"/>
      <c r="P66" s="23"/>
      <c r="Q66" s="4"/>
      <c r="R66" s="4"/>
      <c r="S66" s="4"/>
      <c r="T66"/>
    </row>
    <row r="67" spans="1:20" x14ac:dyDescent="0.25">
      <c r="A67" s="876"/>
      <c r="B67" s="4"/>
      <c r="C67" s="23"/>
      <c r="D67" s="23"/>
      <c r="E67" s="23"/>
      <c r="F67" s="23"/>
      <c r="G67" s="23"/>
      <c r="H67" s="23"/>
      <c r="I67" s="23"/>
      <c r="J67" s="23"/>
      <c r="K67" s="23"/>
      <c r="L67" s="23"/>
      <c r="M67" s="23"/>
      <c r="N67" s="4"/>
      <c r="O67" s="23"/>
      <c r="P67" s="23"/>
      <c r="Q67" s="4"/>
      <c r="R67" s="4"/>
      <c r="S67" s="4"/>
      <c r="T67"/>
    </row>
    <row r="68" spans="1:20" x14ac:dyDescent="0.25">
      <c r="A68" s="876"/>
      <c r="B68" s="4"/>
      <c r="C68" s="23"/>
      <c r="D68" s="23"/>
      <c r="E68" s="23"/>
      <c r="F68" s="23"/>
      <c r="G68" s="23"/>
      <c r="H68" s="23"/>
      <c r="I68" s="23"/>
      <c r="J68" s="23"/>
      <c r="K68" s="23"/>
      <c r="L68" s="23"/>
      <c r="M68" s="23"/>
      <c r="N68" s="4"/>
      <c r="O68" s="23"/>
      <c r="P68" s="23"/>
      <c r="Q68" s="4"/>
      <c r="R68" s="4"/>
      <c r="S68" s="4"/>
      <c r="T68"/>
    </row>
    <row r="69" spans="1:20" x14ac:dyDescent="0.25">
      <c r="A69" s="876"/>
      <c r="B69" s="4"/>
      <c r="C69" s="23"/>
      <c r="D69" s="23"/>
      <c r="E69" s="23"/>
      <c r="F69" s="23"/>
      <c r="G69" s="23"/>
      <c r="H69" s="23"/>
      <c r="I69" s="23"/>
      <c r="J69" s="23"/>
      <c r="K69" s="23"/>
      <c r="L69" s="23"/>
      <c r="M69" s="23"/>
      <c r="N69" s="4"/>
      <c r="O69" s="23"/>
      <c r="P69" s="23"/>
      <c r="Q69" s="4"/>
      <c r="R69" s="4"/>
      <c r="S69" s="4"/>
      <c r="T69"/>
    </row>
    <row r="70" spans="1:20" x14ac:dyDescent="0.25">
      <c r="A70" s="876"/>
      <c r="B70" s="4"/>
      <c r="C70" s="23"/>
      <c r="D70" s="23"/>
      <c r="E70" s="23"/>
      <c r="F70" s="23"/>
      <c r="G70" s="23"/>
      <c r="H70" s="23"/>
      <c r="I70" s="23"/>
      <c r="J70" s="23"/>
      <c r="K70" s="23"/>
      <c r="L70" s="23"/>
      <c r="M70" s="23"/>
      <c r="N70" s="4"/>
      <c r="O70" s="23"/>
      <c r="P70" s="23"/>
      <c r="Q70" s="4"/>
      <c r="R70" s="4"/>
      <c r="S70" s="4"/>
      <c r="T70"/>
    </row>
    <row r="71" spans="1:20" x14ac:dyDescent="0.25">
      <c r="A71" s="876"/>
      <c r="B71" s="4"/>
      <c r="C71" s="23"/>
      <c r="D71" s="23"/>
      <c r="E71" s="23"/>
      <c r="F71" s="23"/>
      <c r="G71" s="23"/>
      <c r="H71" s="23"/>
      <c r="I71" s="23"/>
      <c r="J71" s="23"/>
      <c r="K71" s="23"/>
      <c r="L71" s="23"/>
      <c r="M71" s="23"/>
      <c r="N71" s="4"/>
      <c r="O71" s="23"/>
      <c r="P71" s="23"/>
      <c r="Q71" s="4"/>
      <c r="R71" s="4"/>
      <c r="S71" s="4"/>
      <c r="T71"/>
    </row>
    <row r="72" spans="1:20" x14ac:dyDescent="0.25">
      <c r="A72" s="876"/>
      <c r="B72" s="4"/>
      <c r="C72" s="23"/>
      <c r="D72" s="23"/>
      <c r="E72" s="23"/>
      <c r="F72" s="23"/>
      <c r="G72" s="23"/>
      <c r="H72" s="23"/>
      <c r="I72" s="23"/>
      <c r="J72" s="23"/>
      <c r="K72" s="23"/>
      <c r="L72" s="23"/>
      <c r="M72" s="23"/>
      <c r="N72" s="4"/>
      <c r="O72" s="23"/>
      <c r="P72" s="23"/>
      <c r="Q72" s="4"/>
      <c r="R72" s="4"/>
      <c r="S72" s="4"/>
      <c r="T72"/>
    </row>
    <row r="73" spans="1:20" x14ac:dyDescent="0.25">
      <c r="A73" s="876"/>
      <c r="B73" s="4"/>
      <c r="C73" s="23"/>
      <c r="D73" s="23"/>
      <c r="E73" s="23"/>
      <c r="F73" s="23"/>
      <c r="G73" s="23"/>
      <c r="H73" s="23"/>
      <c r="I73" s="23"/>
      <c r="J73" s="23"/>
      <c r="K73" s="23"/>
      <c r="L73" s="23"/>
      <c r="M73" s="23"/>
      <c r="N73" s="4"/>
      <c r="O73" s="23"/>
      <c r="P73" s="23"/>
      <c r="Q73" s="4"/>
      <c r="R73" s="4"/>
      <c r="S73" s="4"/>
      <c r="T73"/>
    </row>
    <row r="74" spans="1:20" x14ac:dyDescent="0.25">
      <c r="A74" s="876"/>
      <c r="B74" s="4"/>
      <c r="C74" s="23"/>
      <c r="D74" s="23"/>
      <c r="E74" s="23"/>
      <c r="F74" s="23"/>
      <c r="G74" s="23"/>
      <c r="H74" s="23"/>
      <c r="I74" s="23"/>
      <c r="J74" s="23"/>
      <c r="K74" s="23"/>
      <c r="L74" s="23"/>
      <c r="M74" s="23"/>
      <c r="N74" s="4"/>
      <c r="O74" s="23"/>
      <c r="P74" s="23"/>
      <c r="Q74" s="4"/>
      <c r="R74" s="4"/>
      <c r="S74" s="4"/>
      <c r="T74"/>
    </row>
    <row r="75" spans="1:20" x14ac:dyDescent="0.25">
      <c r="A75" s="876"/>
      <c r="B75" s="4"/>
      <c r="C75" s="23"/>
      <c r="D75" s="23"/>
      <c r="E75" s="23"/>
      <c r="F75" s="23"/>
      <c r="G75" s="23"/>
      <c r="H75" s="23"/>
      <c r="I75" s="23"/>
      <c r="J75" s="23"/>
      <c r="K75" s="23"/>
      <c r="L75" s="23"/>
      <c r="M75" s="23"/>
      <c r="N75" s="4"/>
      <c r="O75" s="23"/>
      <c r="P75" s="23"/>
      <c r="Q75" s="4"/>
      <c r="R75" s="4"/>
      <c r="S75" s="4"/>
      <c r="T75"/>
    </row>
    <row r="76" spans="1:20" x14ac:dyDescent="0.25">
      <c r="A76" s="876"/>
      <c r="B76" s="4"/>
      <c r="C76" s="23"/>
      <c r="D76" s="23"/>
      <c r="E76" s="23"/>
      <c r="F76" s="23"/>
      <c r="G76" s="23"/>
      <c r="H76" s="23"/>
      <c r="I76" s="23"/>
      <c r="J76" s="23"/>
      <c r="K76" s="23"/>
      <c r="L76" s="23"/>
      <c r="M76" s="23"/>
      <c r="N76" s="4"/>
      <c r="O76" s="23"/>
      <c r="P76" s="23"/>
      <c r="Q76" s="4"/>
      <c r="R76" s="4"/>
      <c r="S76" s="4"/>
      <c r="T76"/>
    </row>
    <row r="77" spans="1:20" x14ac:dyDescent="0.25">
      <c r="A77" s="876"/>
      <c r="B77" s="4"/>
      <c r="C77" s="23"/>
      <c r="D77" s="23"/>
      <c r="E77" s="23"/>
      <c r="F77" s="23"/>
      <c r="G77" s="23"/>
      <c r="H77" s="23"/>
      <c r="I77" s="23"/>
      <c r="J77" s="23"/>
      <c r="K77" s="23"/>
      <c r="L77" s="23"/>
      <c r="M77" s="23"/>
      <c r="N77" s="4"/>
      <c r="O77" s="23"/>
      <c r="P77" s="23"/>
      <c r="Q77" s="4"/>
      <c r="R77" s="4"/>
      <c r="S77" s="4"/>
      <c r="T77"/>
    </row>
    <row r="78" spans="1:20" x14ac:dyDescent="0.25">
      <c r="A78" s="876"/>
      <c r="B78" s="4"/>
      <c r="C78" s="23"/>
      <c r="D78" s="23"/>
      <c r="E78" s="23"/>
      <c r="F78" s="23"/>
      <c r="G78" s="23"/>
      <c r="H78" s="23"/>
      <c r="I78" s="23"/>
      <c r="J78" s="23"/>
      <c r="K78" s="23"/>
      <c r="L78" s="23"/>
      <c r="M78" s="23"/>
      <c r="N78" s="4"/>
      <c r="O78" s="23"/>
      <c r="P78" s="23"/>
      <c r="Q78" s="4"/>
      <c r="R78" s="4"/>
      <c r="S78" s="4"/>
      <c r="T78"/>
    </row>
    <row r="79" spans="1:20" x14ac:dyDescent="0.25">
      <c r="A79" s="876"/>
      <c r="B79" s="4"/>
      <c r="C79" s="23"/>
      <c r="D79" s="23"/>
      <c r="E79" s="23"/>
      <c r="F79" s="23"/>
      <c r="G79" s="23"/>
      <c r="H79" s="23"/>
      <c r="I79" s="23"/>
      <c r="J79" s="23"/>
      <c r="K79" s="23"/>
      <c r="L79" s="23"/>
      <c r="M79" s="23"/>
      <c r="N79" s="4"/>
      <c r="O79" s="23"/>
      <c r="P79" s="23"/>
      <c r="Q79" s="4"/>
      <c r="R79" s="4"/>
      <c r="S79" s="4"/>
      <c r="T79"/>
    </row>
    <row r="80" spans="1:20" x14ac:dyDescent="0.25">
      <c r="A80" s="876"/>
      <c r="B80" s="4"/>
      <c r="C80" s="23"/>
      <c r="D80" s="23"/>
      <c r="E80" s="23"/>
      <c r="F80" s="23"/>
      <c r="G80" s="23"/>
      <c r="H80" s="23"/>
      <c r="I80" s="23"/>
      <c r="J80" s="23"/>
      <c r="K80" s="23"/>
      <c r="L80" s="23"/>
      <c r="M80" s="23"/>
      <c r="N80" s="4"/>
      <c r="O80" s="23"/>
      <c r="P80" s="23"/>
      <c r="Q80" s="4"/>
      <c r="R80" s="4"/>
      <c r="S80" s="4"/>
      <c r="T80"/>
    </row>
    <row r="81" spans="1:20" x14ac:dyDescent="0.25">
      <c r="A81" s="876"/>
      <c r="B81" s="4"/>
      <c r="C81" s="23"/>
      <c r="D81" s="23"/>
      <c r="E81" s="23"/>
      <c r="F81" s="23"/>
      <c r="G81" s="23"/>
      <c r="H81" s="23"/>
      <c r="I81" s="23"/>
      <c r="J81" s="23"/>
      <c r="K81" s="23"/>
      <c r="L81" s="23"/>
      <c r="M81" s="23"/>
      <c r="N81" s="4"/>
      <c r="O81" s="23"/>
      <c r="P81" s="23"/>
      <c r="Q81" s="4"/>
      <c r="R81" s="4"/>
      <c r="S81" s="4"/>
      <c r="T81"/>
    </row>
    <row r="82" spans="1:20" x14ac:dyDescent="0.25">
      <c r="A82" s="876"/>
      <c r="B82" s="4"/>
      <c r="C82" s="23"/>
      <c r="D82" s="23"/>
      <c r="E82" s="23"/>
      <c r="F82" s="23"/>
      <c r="G82" s="23"/>
      <c r="H82" s="23"/>
      <c r="I82" s="23"/>
      <c r="J82" s="23"/>
      <c r="K82" s="23"/>
      <c r="L82" s="23"/>
      <c r="M82" s="23"/>
      <c r="N82" s="4"/>
      <c r="O82" s="23"/>
      <c r="P82" s="23"/>
      <c r="Q82" s="4"/>
      <c r="R82" s="4"/>
      <c r="S82" s="4"/>
      <c r="T82"/>
    </row>
    <row r="83" spans="1:20" x14ac:dyDescent="0.25">
      <c r="A83" s="876"/>
      <c r="B83" s="4"/>
      <c r="C83" s="23"/>
      <c r="D83" s="23"/>
      <c r="E83" s="23"/>
      <c r="F83" s="23"/>
      <c r="G83" s="23"/>
      <c r="H83" s="23"/>
      <c r="I83" s="23"/>
      <c r="J83" s="23"/>
      <c r="K83" s="23"/>
      <c r="L83" s="23"/>
      <c r="M83" s="23"/>
      <c r="N83" s="4"/>
      <c r="O83" s="23"/>
      <c r="P83" s="23"/>
      <c r="Q83" s="4"/>
      <c r="R83" s="4"/>
      <c r="S83" s="4"/>
      <c r="T83"/>
    </row>
    <row r="84" spans="1:20" x14ac:dyDescent="0.25">
      <c r="A84" s="876"/>
      <c r="B84" s="4"/>
      <c r="C84" s="23"/>
      <c r="D84" s="23"/>
      <c r="E84" s="23"/>
      <c r="F84" s="23"/>
      <c r="G84" s="23"/>
      <c r="H84" s="23"/>
      <c r="I84" s="23"/>
      <c r="J84" s="23"/>
      <c r="K84" s="23"/>
      <c r="L84" s="23"/>
      <c r="M84" s="23"/>
      <c r="N84" s="4"/>
      <c r="O84" s="23"/>
      <c r="P84" s="23"/>
      <c r="Q84" s="4"/>
      <c r="R84" s="4"/>
      <c r="S84" s="4"/>
      <c r="T84"/>
    </row>
    <row r="85" spans="1:20" x14ac:dyDescent="0.25">
      <c r="A85" s="876"/>
      <c r="B85" s="4"/>
      <c r="C85" s="23"/>
      <c r="D85" s="23"/>
      <c r="E85" s="23"/>
      <c r="F85" s="23"/>
      <c r="G85" s="23"/>
      <c r="H85" s="23"/>
      <c r="I85" s="23"/>
      <c r="J85" s="23"/>
      <c r="K85" s="23"/>
      <c r="L85" s="23"/>
      <c r="M85" s="23"/>
      <c r="N85" s="4"/>
      <c r="O85" s="23"/>
      <c r="P85" s="23"/>
      <c r="Q85" s="4"/>
      <c r="R85" s="4"/>
      <c r="S85" s="4"/>
      <c r="T85"/>
    </row>
    <row r="86" spans="1:20" x14ac:dyDescent="0.25">
      <c r="A86" s="876"/>
      <c r="B86" s="4"/>
      <c r="C86" s="23"/>
      <c r="D86" s="23"/>
      <c r="E86" s="23"/>
      <c r="F86" s="23"/>
      <c r="G86" s="23"/>
      <c r="H86" s="23"/>
      <c r="I86" s="23"/>
      <c r="J86" s="23"/>
      <c r="K86" s="23"/>
      <c r="L86" s="23"/>
      <c r="M86" s="23"/>
      <c r="N86" s="4"/>
      <c r="O86" s="23"/>
      <c r="P86" s="23"/>
      <c r="Q86" s="4"/>
      <c r="R86" s="4"/>
      <c r="S86" s="4"/>
      <c r="T86"/>
    </row>
    <row r="87" spans="1:20" x14ac:dyDescent="0.25">
      <c r="A87" s="876"/>
      <c r="B87" s="4"/>
      <c r="C87" s="23"/>
      <c r="D87" s="23"/>
      <c r="E87" s="23"/>
      <c r="F87" s="23"/>
      <c r="G87" s="23"/>
      <c r="H87" s="23"/>
      <c r="I87" s="23"/>
      <c r="J87" s="23"/>
      <c r="K87" s="23"/>
      <c r="L87" s="23"/>
      <c r="M87" s="23"/>
      <c r="N87" s="4"/>
      <c r="O87" s="23"/>
      <c r="P87" s="23"/>
      <c r="Q87" s="4"/>
      <c r="R87" s="4"/>
      <c r="S87" s="4"/>
      <c r="T87"/>
    </row>
    <row r="88" spans="1:20" x14ac:dyDescent="0.25">
      <c r="A88" s="876"/>
      <c r="B88" s="4"/>
      <c r="C88" s="23"/>
      <c r="D88" s="23"/>
      <c r="E88" s="23"/>
      <c r="F88" s="23"/>
      <c r="G88" s="23"/>
      <c r="H88" s="23"/>
      <c r="I88" s="23"/>
      <c r="J88" s="23"/>
      <c r="K88" s="23"/>
      <c r="L88" s="23"/>
      <c r="M88" s="23"/>
      <c r="N88" s="4"/>
      <c r="O88" s="23"/>
      <c r="P88" s="23"/>
      <c r="Q88" s="4"/>
      <c r="R88" s="4"/>
      <c r="S88" s="4"/>
      <c r="T88"/>
    </row>
    <row r="89" spans="1:20" x14ac:dyDescent="0.25">
      <c r="A89" s="876"/>
      <c r="B89" s="4"/>
      <c r="C89" s="23"/>
      <c r="D89" s="23"/>
      <c r="E89" s="23"/>
      <c r="F89" s="23"/>
      <c r="G89" s="23"/>
      <c r="H89" s="23"/>
      <c r="I89" s="23"/>
      <c r="J89" s="23"/>
      <c r="K89" s="23"/>
      <c r="L89" s="23"/>
      <c r="M89" s="23"/>
      <c r="N89" s="4"/>
      <c r="O89" s="23"/>
      <c r="P89" s="23"/>
      <c r="Q89" s="4"/>
      <c r="R89" s="4"/>
      <c r="S89" s="4"/>
      <c r="T89"/>
    </row>
    <row r="90" spans="1:20" x14ac:dyDescent="0.25">
      <c r="A90" s="876"/>
      <c r="B90" s="4"/>
      <c r="C90" s="23"/>
      <c r="D90" s="23"/>
      <c r="E90" s="23"/>
      <c r="F90" s="23"/>
      <c r="G90" s="23"/>
      <c r="H90" s="23"/>
      <c r="I90" s="23"/>
      <c r="J90" s="23"/>
      <c r="K90" s="23"/>
      <c r="L90" s="23"/>
      <c r="M90" s="23"/>
      <c r="N90" s="4"/>
      <c r="O90" s="23"/>
      <c r="P90" s="23"/>
      <c r="Q90" s="4"/>
      <c r="R90" s="4"/>
      <c r="S90" s="4"/>
      <c r="T90"/>
    </row>
    <row r="91" spans="1:20" x14ac:dyDescent="0.25">
      <c r="A91" s="876"/>
      <c r="B91" s="4"/>
      <c r="C91" s="23"/>
      <c r="D91" s="23"/>
      <c r="E91" s="23"/>
      <c r="F91" s="23"/>
      <c r="G91" s="23"/>
      <c r="H91" s="23"/>
      <c r="I91" s="23"/>
      <c r="J91" s="23"/>
      <c r="K91" s="23"/>
      <c r="L91" s="23"/>
      <c r="M91" s="23"/>
      <c r="N91" s="4"/>
      <c r="O91" s="23"/>
      <c r="P91" s="23"/>
      <c r="Q91" s="4"/>
      <c r="R91" s="4"/>
      <c r="S91" s="4"/>
      <c r="T91"/>
    </row>
    <row r="92" spans="1:20" x14ac:dyDescent="0.25">
      <c r="A92" s="876"/>
      <c r="B92" s="4"/>
      <c r="C92" s="23"/>
      <c r="D92" s="23"/>
      <c r="E92" s="23"/>
      <c r="F92" s="23"/>
      <c r="G92" s="23"/>
      <c r="H92" s="23"/>
      <c r="I92" s="23"/>
      <c r="J92" s="23"/>
      <c r="K92" s="23"/>
      <c r="L92" s="23"/>
      <c r="M92" s="23"/>
      <c r="N92" s="4"/>
      <c r="O92" s="23"/>
      <c r="P92" s="23"/>
      <c r="Q92" s="4"/>
      <c r="R92" s="4"/>
      <c r="S92" s="4"/>
      <c r="T92"/>
    </row>
    <row r="93" spans="1:20" x14ac:dyDescent="0.25">
      <c r="A93" s="876"/>
      <c r="B93" s="4"/>
      <c r="C93" s="23"/>
      <c r="D93" s="23"/>
      <c r="E93" s="23"/>
      <c r="F93" s="23"/>
      <c r="G93" s="23"/>
      <c r="H93" s="23"/>
      <c r="I93" s="23"/>
      <c r="J93" s="23"/>
      <c r="K93" s="23"/>
      <c r="L93" s="23"/>
      <c r="M93" s="23"/>
      <c r="N93" s="4"/>
      <c r="O93" s="23"/>
      <c r="P93" s="23"/>
      <c r="Q93" s="4"/>
      <c r="R93" s="4"/>
      <c r="S93" s="4"/>
      <c r="T93"/>
    </row>
    <row r="94" spans="1:20" x14ac:dyDescent="0.25">
      <c r="A94" s="876"/>
      <c r="B94" s="4"/>
      <c r="C94" s="23"/>
      <c r="D94" s="23"/>
      <c r="E94" s="23"/>
      <c r="F94" s="23"/>
      <c r="G94" s="23"/>
      <c r="H94" s="23"/>
      <c r="I94" s="23"/>
      <c r="J94" s="23"/>
      <c r="K94" s="23"/>
      <c r="L94" s="23"/>
      <c r="M94" s="23"/>
      <c r="N94" s="4"/>
      <c r="O94" s="23"/>
      <c r="P94" s="23"/>
      <c r="Q94" s="4"/>
      <c r="R94" s="4"/>
      <c r="S94" s="4"/>
      <c r="T94"/>
    </row>
    <row r="95" spans="1:20" x14ac:dyDescent="0.25">
      <c r="A95" s="876"/>
      <c r="B95" s="4"/>
      <c r="C95" s="23"/>
      <c r="D95" s="23"/>
      <c r="E95" s="23"/>
      <c r="F95" s="23"/>
      <c r="G95" s="23"/>
      <c r="H95" s="23"/>
      <c r="I95" s="23"/>
      <c r="J95" s="23"/>
      <c r="K95" s="23"/>
      <c r="L95" s="23"/>
      <c r="M95" s="23"/>
      <c r="N95" s="4"/>
      <c r="O95" s="23"/>
      <c r="P95" s="23"/>
      <c r="Q95" s="4"/>
      <c r="R95" s="4"/>
      <c r="S95" s="4"/>
      <c r="T95"/>
    </row>
    <row r="96" spans="1:20" x14ac:dyDescent="0.25">
      <c r="A96" s="876"/>
      <c r="B96" s="4"/>
      <c r="C96" s="23"/>
      <c r="D96" s="23"/>
      <c r="E96" s="23"/>
      <c r="F96" s="23"/>
      <c r="G96" s="23"/>
      <c r="H96" s="23"/>
      <c r="I96" s="23"/>
      <c r="J96" s="23"/>
      <c r="K96" s="23"/>
      <c r="L96" s="23"/>
      <c r="M96" s="23"/>
      <c r="N96" s="4"/>
      <c r="O96" s="23"/>
      <c r="P96" s="23"/>
      <c r="Q96" s="4"/>
      <c r="R96" s="4"/>
      <c r="S96" s="4"/>
      <c r="T96"/>
    </row>
    <row r="97" spans="1:20" x14ac:dyDescent="0.25">
      <c r="A97" s="876"/>
      <c r="B97" s="4"/>
      <c r="C97" s="23"/>
      <c r="D97" s="23"/>
      <c r="E97" s="23"/>
      <c r="F97" s="23"/>
      <c r="G97" s="23"/>
      <c r="H97" s="23"/>
      <c r="I97" s="23"/>
      <c r="J97" s="23"/>
      <c r="K97" s="23"/>
      <c r="L97" s="23"/>
      <c r="M97" s="23"/>
      <c r="N97" s="4"/>
      <c r="O97" s="23"/>
      <c r="P97" s="23"/>
      <c r="Q97" s="4"/>
      <c r="R97" s="4"/>
      <c r="S97" s="4"/>
      <c r="T97"/>
    </row>
    <row r="98" spans="1:20" x14ac:dyDescent="0.25">
      <c r="A98" s="876"/>
      <c r="B98" s="4"/>
      <c r="C98" s="23"/>
      <c r="D98" s="23"/>
      <c r="E98" s="23"/>
      <c r="F98" s="23"/>
      <c r="G98" s="23"/>
      <c r="H98" s="23"/>
      <c r="I98" s="23"/>
      <c r="J98" s="23"/>
      <c r="K98" s="23"/>
      <c r="L98" s="23"/>
      <c r="M98" s="23"/>
      <c r="N98" s="4"/>
      <c r="O98" s="23"/>
      <c r="P98" s="23"/>
      <c r="Q98" s="4"/>
      <c r="R98" s="4"/>
      <c r="S98" s="4"/>
      <c r="T98"/>
    </row>
    <row r="99" spans="1:20" x14ac:dyDescent="0.25">
      <c r="A99" s="876"/>
      <c r="B99" s="4"/>
      <c r="C99" s="23"/>
      <c r="D99" s="23"/>
      <c r="E99" s="23"/>
      <c r="F99" s="23"/>
      <c r="G99" s="23"/>
      <c r="H99" s="23"/>
      <c r="I99" s="23"/>
      <c r="J99" s="23"/>
      <c r="K99" s="23"/>
      <c r="L99" s="23"/>
      <c r="M99" s="23"/>
      <c r="N99" s="4"/>
      <c r="O99" s="23"/>
      <c r="P99" s="23"/>
      <c r="Q99" s="4"/>
      <c r="R99" s="4"/>
      <c r="S99" s="4"/>
      <c r="T99"/>
    </row>
    <row r="100" spans="1:20" x14ac:dyDescent="0.25">
      <c r="A100" s="876"/>
      <c r="B100" s="4"/>
      <c r="C100" s="23"/>
      <c r="D100" s="23"/>
      <c r="E100" s="23"/>
      <c r="F100" s="23"/>
      <c r="G100" s="23"/>
      <c r="H100" s="23"/>
      <c r="I100" s="23"/>
      <c r="J100" s="23"/>
      <c r="K100" s="23"/>
      <c r="L100" s="23"/>
      <c r="M100" s="23"/>
      <c r="N100" s="4"/>
      <c r="O100" s="23"/>
      <c r="P100" s="23"/>
      <c r="Q100" s="4"/>
      <c r="R100" s="4"/>
      <c r="S100" s="4"/>
      <c r="T100"/>
    </row>
    <row r="101" spans="1:20" x14ac:dyDescent="0.25">
      <c r="A101" s="876"/>
      <c r="B101" s="4"/>
      <c r="C101" s="23"/>
      <c r="D101" s="23"/>
      <c r="E101" s="23"/>
      <c r="F101" s="23"/>
      <c r="G101" s="23"/>
      <c r="H101" s="23"/>
      <c r="I101" s="23"/>
      <c r="J101" s="23"/>
      <c r="K101" s="23"/>
      <c r="L101" s="23"/>
      <c r="M101" s="23"/>
      <c r="N101" s="4"/>
      <c r="O101" s="23"/>
      <c r="P101" s="23"/>
      <c r="Q101" s="4"/>
      <c r="R101" s="4"/>
      <c r="S101" s="4"/>
      <c r="T101"/>
    </row>
    <row r="102" spans="1:20" x14ac:dyDescent="0.25">
      <c r="A102" s="876"/>
      <c r="B102" s="4"/>
      <c r="C102" s="23"/>
      <c r="D102" s="23"/>
      <c r="E102" s="23"/>
      <c r="F102" s="23"/>
      <c r="G102" s="23"/>
      <c r="H102" s="23"/>
      <c r="I102" s="23"/>
      <c r="J102" s="23"/>
      <c r="K102" s="23"/>
      <c r="L102" s="23"/>
      <c r="M102" s="23"/>
      <c r="N102" s="4"/>
      <c r="O102" s="23"/>
      <c r="P102" s="23"/>
      <c r="Q102" s="4"/>
      <c r="R102" s="4"/>
      <c r="S102" s="4"/>
      <c r="T102"/>
    </row>
    <row r="103" spans="1:20" x14ac:dyDescent="0.25">
      <c r="A103" s="876"/>
      <c r="B103" s="4"/>
      <c r="C103" s="23"/>
      <c r="D103" s="23"/>
      <c r="E103" s="23"/>
      <c r="F103" s="23"/>
      <c r="G103" s="23"/>
      <c r="H103" s="23"/>
      <c r="I103" s="23"/>
      <c r="J103" s="23"/>
      <c r="K103" s="23"/>
      <c r="L103" s="23"/>
      <c r="M103" s="23"/>
      <c r="N103" s="4"/>
      <c r="O103" s="23"/>
      <c r="P103" s="23"/>
      <c r="Q103" s="4"/>
      <c r="R103" s="4"/>
      <c r="S103" s="4"/>
      <c r="T103"/>
    </row>
    <row r="104" spans="1:20" x14ac:dyDescent="0.25">
      <c r="A104" s="876"/>
      <c r="B104" s="4"/>
      <c r="C104" s="23"/>
      <c r="D104" s="23"/>
      <c r="E104" s="23"/>
      <c r="F104" s="23"/>
      <c r="G104" s="23"/>
      <c r="H104" s="23"/>
      <c r="I104" s="23"/>
      <c r="J104" s="23"/>
      <c r="K104" s="23"/>
      <c r="L104" s="23"/>
      <c r="M104" s="23"/>
      <c r="N104" s="4"/>
      <c r="O104" s="23"/>
      <c r="P104" s="23"/>
      <c r="Q104" s="4"/>
      <c r="R104" s="4"/>
      <c r="S104" s="4"/>
      <c r="T104"/>
    </row>
    <row r="105" spans="1:20" x14ac:dyDescent="0.25">
      <c r="A105" s="876"/>
      <c r="B105" s="4"/>
      <c r="C105" s="23"/>
      <c r="D105" s="23"/>
      <c r="E105" s="23"/>
      <c r="F105" s="23"/>
      <c r="G105" s="23"/>
      <c r="H105" s="23"/>
      <c r="I105" s="23"/>
      <c r="J105" s="23"/>
      <c r="K105" s="23"/>
      <c r="L105" s="23"/>
      <c r="M105" s="23"/>
      <c r="N105" s="4"/>
      <c r="O105" s="23"/>
      <c r="P105" s="23"/>
      <c r="Q105" s="4"/>
      <c r="R105" s="4"/>
      <c r="S105" s="4"/>
      <c r="T105"/>
    </row>
    <row r="106" spans="1:20" x14ac:dyDescent="0.25">
      <c r="A106" s="876"/>
      <c r="B106" s="4"/>
      <c r="C106" s="23"/>
      <c r="D106" s="23"/>
      <c r="E106" s="23"/>
      <c r="F106" s="23"/>
      <c r="G106" s="23"/>
      <c r="H106" s="23"/>
      <c r="I106" s="23"/>
      <c r="J106" s="23"/>
      <c r="K106" s="23"/>
      <c r="L106" s="23"/>
      <c r="M106" s="23"/>
      <c r="N106" s="4"/>
      <c r="O106" s="23"/>
      <c r="P106" s="23"/>
      <c r="Q106" s="4"/>
      <c r="R106" s="4"/>
      <c r="S106" s="4"/>
      <c r="T106"/>
    </row>
    <row r="107" spans="1:20" x14ac:dyDescent="0.25">
      <c r="C107" s="114"/>
      <c r="D107"/>
      <c r="E107"/>
      <c r="F107"/>
      <c r="G107"/>
      <c r="H107"/>
      <c r="I107"/>
      <c r="J107"/>
      <c r="K107"/>
      <c r="L107"/>
      <c r="M107"/>
      <c r="O107"/>
      <c r="P107"/>
      <c r="T107"/>
    </row>
    <row r="108" spans="1:20" x14ac:dyDescent="0.25">
      <c r="C108" s="114"/>
      <c r="D108"/>
      <c r="E108"/>
      <c r="F108"/>
      <c r="G108"/>
      <c r="H108"/>
      <c r="I108"/>
      <c r="J108"/>
      <c r="K108"/>
      <c r="L108"/>
      <c r="M108"/>
      <c r="O108"/>
      <c r="P108"/>
      <c r="T108"/>
    </row>
    <row r="109" spans="1:20" x14ac:dyDescent="0.25">
      <c r="C109" s="114"/>
      <c r="D109"/>
      <c r="E109"/>
      <c r="F109"/>
      <c r="G109"/>
      <c r="H109"/>
      <c r="I109"/>
      <c r="J109"/>
      <c r="K109"/>
      <c r="L109"/>
      <c r="M109"/>
      <c r="O109"/>
      <c r="P109"/>
      <c r="T109"/>
    </row>
    <row r="110" spans="1:20" x14ac:dyDescent="0.25">
      <c r="C110" s="114"/>
      <c r="D110"/>
      <c r="E110"/>
      <c r="F110"/>
      <c r="G110"/>
      <c r="H110"/>
      <c r="I110"/>
      <c r="J110"/>
      <c r="K110"/>
      <c r="L110"/>
      <c r="M110"/>
      <c r="O110"/>
      <c r="P110"/>
      <c r="T110"/>
    </row>
    <row r="111" spans="1:20" x14ac:dyDescent="0.25">
      <c r="C111" s="114"/>
      <c r="D111"/>
      <c r="E111"/>
      <c r="F111"/>
      <c r="G111"/>
      <c r="H111"/>
      <c r="I111"/>
      <c r="J111"/>
      <c r="K111"/>
      <c r="L111"/>
      <c r="M111"/>
      <c r="O111"/>
      <c r="P111"/>
      <c r="T111"/>
    </row>
    <row r="112" spans="1:20" x14ac:dyDescent="0.25">
      <c r="C112" s="114"/>
      <c r="D112"/>
      <c r="E112"/>
      <c r="F112"/>
      <c r="G112"/>
      <c r="H112"/>
      <c r="I112"/>
      <c r="J112"/>
      <c r="K112"/>
      <c r="L112"/>
      <c r="M112"/>
      <c r="O112"/>
      <c r="P112"/>
      <c r="T112"/>
    </row>
    <row r="113" spans="3:20" x14ac:dyDescent="0.25">
      <c r="C113" s="114"/>
      <c r="D113"/>
      <c r="E113"/>
      <c r="F113"/>
      <c r="G113"/>
      <c r="H113"/>
      <c r="I113"/>
      <c r="J113"/>
      <c r="K113"/>
      <c r="L113"/>
      <c r="M113"/>
      <c r="O113"/>
      <c r="P113"/>
      <c r="T113"/>
    </row>
    <row r="114" spans="3:20" x14ac:dyDescent="0.25">
      <c r="C114" s="114"/>
      <c r="D114"/>
      <c r="E114"/>
      <c r="F114"/>
      <c r="G114"/>
      <c r="H114"/>
      <c r="I114"/>
      <c r="J114"/>
      <c r="K114"/>
      <c r="L114"/>
      <c r="M114"/>
      <c r="O114"/>
      <c r="P114"/>
      <c r="T114"/>
    </row>
    <row r="115" spans="3:20" x14ac:dyDescent="0.25">
      <c r="C115" s="114"/>
      <c r="D115"/>
      <c r="E115"/>
      <c r="F115"/>
      <c r="G115"/>
      <c r="H115"/>
      <c r="I115"/>
      <c r="J115"/>
      <c r="K115"/>
      <c r="L115"/>
      <c r="M115"/>
      <c r="O115"/>
      <c r="P115"/>
      <c r="T115"/>
    </row>
    <row r="116" spans="3:20" x14ac:dyDescent="0.25">
      <c r="C116" s="114"/>
      <c r="D116"/>
      <c r="E116"/>
      <c r="F116"/>
      <c r="G116"/>
      <c r="H116"/>
      <c r="I116"/>
      <c r="J116"/>
      <c r="K116"/>
      <c r="L116"/>
      <c r="M116"/>
      <c r="O116"/>
      <c r="P116"/>
      <c r="T116"/>
    </row>
    <row r="117" spans="3:20" x14ac:dyDescent="0.25">
      <c r="C117" s="114"/>
      <c r="D117"/>
      <c r="E117"/>
      <c r="F117"/>
      <c r="G117"/>
      <c r="H117"/>
      <c r="I117"/>
      <c r="J117"/>
      <c r="K117"/>
      <c r="L117"/>
      <c r="M117"/>
      <c r="O117"/>
      <c r="P117"/>
      <c r="T117"/>
    </row>
    <row r="118" spans="3:20" x14ac:dyDescent="0.25">
      <c r="C118" s="114"/>
      <c r="D118"/>
      <c r="E118"/>
      <c r="F118"/>
      <c r="G118"/>
      <c r="H118"/>
      <c r="I118"/>
      <c r="J118"/>
      <c r="K118"/>
      <c r="L118"/>
      <c r="M118"/>
      <c r="O118"/>
      <c r="P118"/>
      <c r="T118"/>
    </row>
    <row r="119" spans="3:20" x14ac:dyDescent="0.25">
      <c r="C119" s="114"/>
      <c r="D119"/>
      <c r="E119"/>
      <c r="F119"/>
      <c r="G119"/>
      <c r="H119"/>
      <c r="I119"/>
      <c r="J119"/>
      <c r="K119"/>
      <c r="L119"/>
      <c r="M119"/>
      <c r="O119"/>
      <c r="P119"/>
      <c r="T119"/>
    </row>
    <row r="120" spans="3:20" x14ac:dyDescent="0.25">
      <c r="C120" s="114"/>
      <c r="D120"/>
      <c r="E120"/>
      <c r="F120"/>
      <c r="G120"/>
      <c r="H120"/>
      <c r="I120"/>
      <c r="J120"/>
      <c r="K120"/>
      <c r="L120"/>
      <c r="M120"/>
      <c r="O120"/>
      <c r="P120"/>
      <c r="T120"/>
    </row>
    <row r="121" spans="3:20" x14ac:dyDescent="0.25">
      <c r="C121" s="114"/>
      <c r="D121"/>
      <c r="E121"/>
      <c r="F121"/>
      <c r="G121"/>
      <c r="H121"/>
      <c r="I121"/>
      <c r="J121"/>
      <c r="K121"/>
      <c r="L121"/>
      <c r="M121"/>
      <c r="O121"/>
      <c r="P121"/>
      <c r="T121"/>
    </row>
    <row r="122" spans="3:20" x14ac:dyDescent="0.25">
      <c r="C122" s="114"/>
      <c r="D122"/>
      <c r="E122"/>
      <c r="F122"/>
      <c r="G122"/>
      <c r="H122"/>
      <c r="I122"/>
      <c r="J122"/>
      <c r="K122"/>
      <c r="L122"/>
      <c r="M122"/>
      <c r="O122"/>
      <c r="P122"/>
      <c r="T122"/>
    </row>
    <row r="123" spans="3:20" x14ac:dyDescent="0.25">
      <c r="C123" s="114"/>
      <c r="D123"/>
      <c r="E123"/>
      <c r="F123"/>
      <c r="G123"/>
      <c r="H123"/>
      <c r="I123"/>
      <c r="J123"/>
      <c r="K123"/>
      <c r="L123"/>
      <c r="M123"/>
      <c r="O123"/>
      <c r="P123"/>
      <c r="T123"/>
    </row>
    <row r="124" spans="3:20" x14ac:dyDescent="0.25">
      <c r="C124" s="114"/>
      <c r="D124"/>
      <c r="E124"/>
      <c r="F124"/>
      <c r="G124"/>
      <c r="H124"/>
      <c r="I124"/>
      <c r="J124"/>
      <c r="K124"/>
      <c r="L124"/>
      <c r="M124"/>
      <c r="O124"/>
      <c r="P124"/>
      <c r="T124"/>
    </row>
    <row r="125" spans="3:20" x14ac:dyDescent="0.25">
      <c r="C125" s="114"/>
      <c r="D125"/>
      <c r="E125"/>
      <c r="F125"/>
      <c r="G125"/>
      <c r="H125"/>
      <c r="I125"/>
      <c r="J125"/>
      <c r="K125"/>
      <c r="L125"/>
      <c r="M125"/>
      <c r="O125"/>
      <c r="P125"/>
      <c r="T125"/>
    </row>
    <row r="126" spans="3:20" x14ac:dyDescent="0.25">
      <c r="C126" s="114"/>
      <c r="D126"/>
      <c r="E126"/>
      <c r="F126"/>
      <c r="G126"/>
      <c r="H126"/>
      <c r="I126"/>
      <c r="J126"/>
      <c r="K126"/>
      <c r="L126"/>
      <c r="M126"/>
      <c r="O126"/>
      <c r="P126"/>
      <c r="T126"/>
    </row>
    <row r="127" spans="3:20" x14ac:dyDescent="0.25">
      <c r="C127" s="114"/>
      <c r="D127"/>
      <c r="E127"/>
      <c r="F127"/>
      <c r="G127"/>
      <c r="H127"/>
      <c r="I127"/>
      <c r="J127"/>
      <c r="K127"/>
      <c r="L127"/>
      <c r="M127"/>
      <c r="O127"/>
      <c r="P127"/>
      <c r="T127"/>
    </row>
    <row r="128" spans="3:20" x14ac:dyDescent="0.25">
      <c r="C128" s="114"/>
      <c r="D128"/>
      <c r="E128"/>
      <c r="F128"/>
      <c r="G128"/>
      <c r="H128"/>
      <c r="I128"/>
      <c r="J128"/>
      <c r="K128"/>
      <c r="L128"/>
      <c r="M128"/>
      <c r="O128"/>
      <c r="P128"/>
      <c r="T128"/>
    </row>
    <row r="129" spans="3:20" x14ac:dyDescent="0.25">
      <c r="C129" s="114"/>
      <c r="D129"/>
      <c r="E129"/>
      <c r="F129"/>
      <c r="G129"/>
      <c r="H129"/>
      <c r="I129"/>
      <c r="J129"/>
      <c r="K129"/>
      <c r="L129"/>
      <c r="M129"/>
      <c r="O129"/>
      <c r="P129"/>
      <c r="T129"/>
    </row>
    <row r="130" spans="3:20" x14ac:dyDescent="0.25">
      <c r="C130" s="114"/>
      <c r="D130"/>
      <c r="E130"/>
      <c r="F130"/>
      <c r="G130"/>
      <c r="H130"/>
      <c r="I130"/>
      <c r="J130"/>
      <c r="K130"/>
      <c r="L130"/>
      <c r="M130"/>
      <c r="O130"/>
      <c r="P130"/>
      <c r="T130"/>
    </row>
    <row r="131" spans="3:20" x14ac:dyDescent="0.25">
      <c r="C131" s="114"/>
      <c r="D131"/>
      <c r="E131"/>
      <c r="F131"/>
      <c r="G131"/>
      <c r="H131"/>
      <c r="I131"/>
      <c r="J131"/>
      <c r="K131"/>
      <c r="L131"/>
      <c r="M131"/>
      <c r="O131"/>
      <c r="P131"/>
      <c r="T131"/>
    </row>
    <row r="132" spans="3:20" x14ac:dyDescent="0.25">
      <c r="C132" s="114"/>
      <c r="D132"/>
      <c r="E132"/>
      <c r="F132"/>
      <c r="G132"/>
      <c r="H132"/>
      <c r="I132"/>
      <c r="J132"/>
      <c r="K132"/>
      <c r="L132"/>
      <c r="M132"/>
      <c r="O132"/>
      <c r="P132"/>
      <c r="T132"/>
    </row>
    <row r="133" spans="3:20" x14ac:dyDescent="0.25">
      <c r="C133" s="114"/>
      <c r="D133"/>
      <c r="E133"/>
      <c r="F133"/>
      <c r="G133"/>
      <c r="H133"/>
      <c r="I133"/>
      <c r="J133"/>
      <c r="K133"/>
      <c r="L133"/>
      <c r="M133"/>
      <c r="O133"/>
      <c r="P133"/>
      <c r="T133"/>
    </row>
    <row r="134" spans="3:20" x14ac:dyDescent="0.25">
      <c r="C134" s="114"/>
      <c r="D134"/>
      <c r="E134"/>
      <c r="F134"/>
      <c r="G134"/>
      <c r="H134"/>
      <c r="I134"/>
      <c r="J134"/>
      <c r="K134"/>
      <c r="L134"/>
      <c r="M134"/>
      <c r="O134"/>
      <c r="P134"/>
      <c r="T134"/>
    </row>
    <row r="135" spans="3:20" x14ac:dyDescent="0.25">
      <c r="C135" s="114"/>
      <c r="D135"/>
      <c r="E135"/>
      <c r="F135"/>
      <c r="G135"/>
      <c r="H135"/>
      <c r="I135"/>
      <c r="J135"/>
      <c r="K135"/>
      <c r="L135"/>
      <c r="M135"/>
      <c r="O135"/>
      <c r="P135"/>
      <c r="T135"/>
    </row>
    <row r="136" spans="3:20" x14ac:dyDescent="0.25">
      <c r="C136" s="114"/>
      <c r="D136"/>
      <c r="E136"/>
      <c r="F136"/>
      <c r="G136"/>
      <c r="H136"/>
      <c r="I136"/>
      <c r="J136"/>
      <c r="K136"/>
      <c r="L136"/>
      <c r="M136"/>
      <c r="O136"/>
      <c r="P136"/>
      <c r="T136"/>
    </row>
    <row r="137" spans="3:20" x14ac:dyDescent="0.25">
      <c r="C137" s="114"/>
      <c r="D137"/>
      <c r="E137"/>
      <c r="F137"/>
      <c r="G137"/>
      <c r="H137"/>
      <c r="I137"/>
      <c r="J137"/>
      <c r="K137"/>
      <c r="L137"/>
      <c r="M137"/>
      <c r="O137"/>
      <c r="P137"/>
      <c r="T137"/>
    </row>
    <row r="138" spans="3:20" x14ac:dyDescent="0.25">
      <c r="C138" s="114"/>
      <c r="D138"/>
      <c r="E138"/>
      <c r="F138"/>
      <c r="G138"/>
      <c r="H138"/>
      <c r="I138"/>
      <c r="J138"/>
      <c r="K138"/>
      <c r="L138"/>
      <c r="M138"/>
      <c r="O138"/>
      <c r="P138"/>
      <c r="T138"/>
    </row>
    <row r="139" spans="3:20" x14ac:dyDescent="0.25">
      <c r="C139" s="114"/>
      <c r="D139"/>
      <c r="E139"/>
      <c r="F139"/>
      <c r="G139"/>
      <c r="H139"/>
      <c r="I139"/>
      <c r="J139"/>
      <c r="K139"/>
      <c r="L139"/>
      <c r="M139"/>
      <c r="O139"/>
      <c r="P139"/>
      <c r="T139"/>
    </row>
    <row r="140" spans="3:20" x14ac:dyDescent="0.25">
      <c r="C140" s="114"/>
      <c r="D140"/>
      <c r="E140"/>
      <c r="F140"/>
      <c r="G140"/>
      <c r="H140"/>
      <c r="I140"/>
      <c r="J140"/>
      <c r="K140"/>
      <c r="L140"/>
      <c r="M140"/>
      <c r="O140"/>
      <c r="P140"/>
      <c r="T140"/>
    </row>
    <row r="141" spans="3:20" x14ac:dyDescent="0.25">
      <c r="C141" s="114"/>
      <c r="D141"/>
      <c r="E141"/>
      <c r="F141"/>
      <c r="G141"/>
      <c r="H141"/>
      <c r="I141"/>
      <c r="J141"/>
      <c r="K141"/>
      <c r="L141"/>
      <c r="M141"/>
      <c r="O141"/>
      <c r="P141"/>
      <c r="T141"/>
    </row>
    <row r="142" spans="3:20" x14ac:dyDescent="0.25">
      <c r="C142" s="114"/>
      <c r="D142"/>
      <c r="E142"/>
      <c r="F142"/>
      <c r="G142"/>
      <c r="H142"/>
      <c r="I142"/>
      <c r="J142"/>
      <c r="K142"/>
      <c r="L142"/>
      <c r="M142"/>
      <c r="O142"/>
      <c r="P142"/>
      <c r="T142"/>
    </row>
    <row r="143" spans="3:20" x14ac:dyDescent="0.25">
      <c r="C143" s="114"/>
      <c r="D143"/>
      <c r="E143"/>
      <c r="F143"/>
      <c r="G143"/>
      <c r="H143"/>
      <c r="I143"/>
      <c r="J143"/>
      <c r="K143"/>
      <c r="L143"/>
      <c r="M143"/>
      <c r="O143"/>
      <c r="P143"/>
      <c r="T143"/>
    </row>
    <row r="144" spans="3:20" x14ac:dyDescent="0.25">
      <c r="C144" s="114"/>
      <c r="D144"/>
      <c r="E144"/>
      <c r="F144"/>
      <c r="G144"/>
      <c r="H144"/>
      <c r="I144"/>
      <c r="J144"/>
      <c r="K144"/>
      <c r="L144"/>
      <c r="M144"/>
      <c r="O144"/>
      <c r="P144"/>
      <c r="T144"/>
    </row>
    <row r="145" spans="3:20" x14ac:dyDescent="0.25">
      <c r="C145" s="114"/>
      <c r="D145"/>
      <c r="E145"/>
      <c r="F145"/>
      <c r="G145"/>
      <c r="H145"/>
      <c r="I145"/>
      <c r="J145"/>
      <c r="K145"/>
      <c r="L145"/>
      <c r="M145"/>
      <c r="O145"/>
      <c r="P145"/>
      <c r="T145"/>
    </row>
    <row r="146" spans="3:20" x14ac:dyDescent="0.25">
      <c r="C146" s="114"/>
      <c r="D146"/>
      <c r="E146"/>
      <c r="F146"/>
      <c r="G146"/>
      <c r="H146"/>
      <c r="I146"/>
      <c r="J146"/>
      <c r="K146"/>
      <c r="L146"/>
      <c r="M146"/>
      <c r="O146"/>
      <c r="P146"/>
      <c r="T146"/>
    </row>
    <row r="147" spans="3:20" x14ac:dyDescent="0.25">
      <c r="C147" s="114"/>
      <c r="D147"/>
      <c r="E147"/>
      <c r="F147"/>
      <c r="G147"/>
      <c r="H147"/>
      <c r="I147"/>
      <c r="J147"/>
      <c r="K147"/>
      <c r="L147"/>
      <c r="M147"/>
      <c r="O147"/>
      <c r="P147"/>
      <c r="T147"/>
    </row>
    <row r="148" spans="3:20" x14ac:dyDescent="0.25">
      <c r="C148" s="114"/>
      <c r="D148"/>
      <c r="E148"/>
      <c r="F148"/>
      <c r="G148"/>
      <c r="H148"/>
      <c r="I148"/>
      <c r="J148"/>
      <c r="K148"/>
      <c r="L148"/>
      <c r="M148"/>
      <c r="O148"/>
      <c r="P148"/>
      <c r="T148"/>
    </row>
    <row r="149" spans="3:20" x14ac:dyDescent="0.25">
      <c r="C149" s="114"/>
      <c r="D149"/>
      <c r="E149"/>
      <c r="F149"/>
      <c r="G149"/>
      <c r="H149"/>
      <c r="I149"/>
      <c r="J149"/>
      <c r="K149"/>
      <c r="L149"/>
      <c r="M149"/>
      <c r="O149"/>
      <c r="P149"/>
      <c r="T149"/>
    </row>
    <row r="150" spans="3:20" x14ac:dyDescent="0.25">
      <c r="C150" s="114"/>
      <c r="D150"/>
      <c r="E150"/>
      <c r="F150"/>
      <c r="G150"/>
      <c r="H150"/>
      <c r="I150"/>
      <c r="J150"/>
      <c r="K150"/>
      <c r="L150"/>
      <c r="M150"/>
      <c r="O150"/>
      <c r="P150"/>
      <c r="T150"/>
    </row>
    <row r="151" spans="3:20" x14ac:dyDescent="0.25">
      <c r="C151" s="114"/>
      <c r="D151"/>
      <c r="E151"/>
      <c r="F151"/>
      <c r="G151"/>
      <c r="H151"/>
      <c r="I151"/>
      <c r="J151"/>
      <c r="K151"/>
      <c r="L151"/>
      <c r="M151"/>
      <c r="O151"/>
      <c r="P151"/>
      <c r="T151"/>
    </row>
    <row r="152" spans="3:20" x14ac:dyDescent="0.25">
      <c r="C152" s="114"/>
      <c r="D152"/>
      <c r="E152"/>
      <c r="F152"/>
      <c r="G152"/>
      <c r="H152"/>
      <c r="I152"/>
      <c r="J152"/>
      <c r="K152"/>
      <c r="L152"/>
      <c r="M152"/>
      <c r="O152"/>
      <c r="P152"/>
      <c r="T152"/>
    </row>
    <row r="153" spans="3:20" x14ac:dyDescent="0.25">
      <c r="C153" s="114"/>
      <c r="D153"/>
      <c r="E153"/>
      <c r="F153"/>
      <c r="G153"/>
      <c r="H153"/>
      <c r="I153"/>
      <c r="J153"/>
      <c r="K153"/>
      <c r="L153"/>
      <c r="M153"/>
      <c r="O153"/>
      <c r="P153"/>
      <c r="T153"/>
    </row>
    <row r="154" spans="3:20" x14ac:dyDescent="0.25">
      <c r="C154" s="114"/>
      <c r="D154"/>
      <c r="E154"/>
      <c r="F154"/>
      <c r="G154"/>
      <c r="H154"/>
      <c r="I154"/>
      <c r="J154"/>
      <c r="K154"/>
      <c r="L154"/>
      <c r="M154"/>
      <c r="O154"/>
      <c r="P154"/>
      <c r="T154"/>
    </row>
    <row r="155" spans="3:20" x14ac:dyDescent="0.25">
      <c r="C155" s="114"/>
      <c r="D155"/>
      <c r="E155"/>
      <c r="F155"/>
      <c r="G155"/>
      <c r="H155"/>
      <c r="I155"/>
      <c r="J155"/>
      <c r="K155"/>
      <c r="L155"/>
      <c r="M155"/>
      <c r="O155"/>
      <c r="P155"/>
      <c r="T155"/>
    </row>
    <row r="156" spans="3:20" x14ac:dyDescent="0.25">
      <c r="C156" s="114"/>
      <c r="D156"/>
      <c r="E156"/>
      <c r="F156"/>
      <c r="G156"/>
      <c r="H156"/>
      <c r="I156"/>
      <c r="J156"/>
      <c r="K156"/>
      <c r="L156"/>
      <c r="M156"/>
      <c r="O156"/>
      <c r="P156"/>
      <c r="T156"/>
    </row>
    <row r="157" spans="3:20" x14ac:dyDescent="0.25">
      <c r="C157" s="114"/>
      <c r="D157"/>
      <c r="E157"/>
      <c r="F157"/>
      <c r="G157"/>
      <c r="H157"/>
      <c r="I157"/>
      <c r="J157"/>
      <c r="K157"/>
      <c r="L157"/>
      <c r="M157"/>
      <c r="O157"/>
      <c r="P157"/>
      <c r="T157"/>
    </row>
    <row r="158" spans="3:20" x14ac:dyDescent="0.25">
      <c r="C158" s="114"/>
      <c r="D158"/>
      <c r="E158"/>
      <c r="F158"/>
      <c r="G158"/>
      <c r="H158"/>
      <c r="I158"/>
      <c r="J158"/>
      <c r="K158"/>
      <c r="L158"/>
      <c r="M158"/>
      <c r="O158"/>
      <c r="P158"/>
      <c r="T158"/>
    </row>
    <row r="159" spans="3:20" x14ac:dyDescent="0.25">
      <c r="C159" s="114"/>
      <c r="D159"/>
      <c r="E159"/>
      <c r="F159"/>
      <c r="G159"/>
      <c r="H159"/>
      <c r="I159"/>
      <c r="J159"/>
      <c r="K159"/>
      <c r="L159"/>
      <c r="M159"/>
      <c r="O159"/>
      <c r="P159"/>
      <c r="T159"/>
    </row>
  </sheetData>
  <phoneticPr fontId="0" type="noConversion"/>
  <hyperlinks>
    <hyperlink ref="A1" location="'Working Budget with funding det'!A1" display="Main " xr:uid="{00000000-0004-0000-1E00-000000000000}"/>
    <hyperlink ref="B1" location="'Table of Contents'!A1" display="TOC" xr:uid="{00000000-0004-0000-1E00-000001000000}"/>
  </hyperlinks>
  <pageMargins left="0.75" right="0.75" top="1" bottom="1" header="0.5" footer="0.5"/>
  <pageSetup scale="92" orientation="landscape" horizontalDpi="300" verticalDpi="300" r:id="rId1"/>
  <headerFooter alignWithMargins="0">
    <oddFooter>&amp;L&amp;D     &amp;T&amp;C&amp;F&amp;R&amp;A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92D050"/>
    <pageSetUpPr fitToPage="1"/>
  </sheetPr>
  <dimension ref="A1:T168"/>
  <sheetViews>
    <sheetView workbookViewId="0">
      <selection activeCell="A18" sqref="A18"/>
    </sheetView>
  </sheetViews>
  <sheetFormatPr defaultRowHeight="13.2" x14ac:dyDescent="0.25"/>
  <cols>
    <col min="1" max="1" width="8.77734375" style="885"/>
    <col min="2" max="2" width="36.6640625" customWidth="1"/>
    <col min="3" max="3" width="14.44140625" style="1" hidden="1" customWidth="1"/>
    <col min="4" max="10" width="14.44140625" style="114" hidden="1" customWidth="1"/>
    <col min="11" max="13" width="14.44140625" style="114" customWidth="1"/>
    <col min="14" max="14" width="14.44140625" customWidth="1"/>
    <col min="15" max="16" width="14.44140625" style="1" customWidth="1"/>
    <col min="17" max="19" width="14.44140625" customWidth="1"/>
    <col min="20" max="20" width="14.6640625" style="2" customWidth="1"/>
  </cols>
  <sheetData>
    <row r="1" spans="1:19" x14ac:dyDescent="0.25">
      <c r="A1" s="874" t="s">
        <v>1021</v>
      </c>
      <c r="B1" s="371" t="s">
        <v>1348</v>
      </c>
      <c r="P1"/>
    </row>
    <row r="2" spans="1:19" ht="13.8" x14ac:dyDescent="0.25">
      <c r="A2" s="875" t="s">
        <v>261</v>
      </c>
      <c r="B2" s="45"/>
      <c r="E2" s="141"/>
      <c r="I2" s="141" t="s">
        <v>257</v>
      </c>
      <c r="J2" s="141"/>
      <c r="K2" s="141"/>
      <c r="L2" s="141"/>
      <c r="M2" s="141"/>
      <c r="N2" s="61" t="s">
        <v>299</v>
      </c>
      <c r="P2" s="46" t="s">
        <v>490</v>
      </c>
    </row>
    <row r="3" spans="1:19" ht="13.8" thickBot="1" x14ac:dyDescent="0.3">
      <c r="A3" s="876"/>
      <c r="B3" s="4"/>
      <c r="C3" s="23"/>
      <c r="D3" s="23"/>
      <c r="E3" s="23"/>
      <c r="F3" s="23"/>
      <c r="G3" s="23"/>
      <c r="H3" s="23"/>
      <c r="I3" s="23"/>
      <c r="J3" s="23"/>
      <c r="K3" s="23"/>
      <c r="L3" s="23"/>
      <c r="M3" s="23"/>
      <c r="N3" s="4"/>
      <c r="O3" s="23"/>
      <c r="P3" s="4"/>
      <c r="S3" s="4"/>
    </row>
    <row r="4" spans="1:19" ht="13.8" thickTop="1" x14ac:dyDescent="0.25">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t="s">
        <v>910</v>
      </c>
    </row>
    <row r="5" spans="1:19" x14ac:dyDescent="0.25">
      <c r="A5" s="878"/>
      <c r="B5" s="209"/>
      <c r="C5" s="127"/>
      <c r="D5" s="87"/>
      <c r="E5" s="113"/>
      <c r="F5" s="87"/>
      <c r="G5" s="87"/>
      <c r="H5" s="113"/>
      <c r="I5" s="290"/>
      <c r="J5" s="290"/>
      <c r="K5" s="290"/>
      <c r="L5" s="290"/>
      <c r="M5" s="290"/>
      <c r="N5" s="113" t="s">
        <v>515</v>
      </c>
      <c r="O5" s="88" t="s">
        <v>7</v>
      </c>
      <c r="P5" s="203" t="s">
        <v>782</v>
      </c>
    </row>
    <row r="6" spans="1:19" x14ac:dyDescent="0.25">
      <c r="A6" s="878"/>
      <c r="B6" s="209"/>
      <c r="C6" s="127"/>
      <c r="D6" s="127"/>
      <c r="E6" s="127"/>
      <c r="F6" s="127"/>
      <c r="G6" s="127"/>
      <c r="H6" s="127"/>
      <c r="I6" s="88"/>
      <c r="J6" s="88"/>
      <c r="K6" s="88"/>
      <c r="L6" s="88"/>
      <c r="M6" s="88"/>
      <c r="N6" s="127"/>
      <c r="O6" s="88" t="s">
        <v>8</v>
      </c>
      <c r="P6" s="47" t="s">
        <v>543</v>
      </c>
    </row>
    <row r="7" spans="1:19"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44561</v>
      </c>
      <c r="O7" s="9" t="s">
        <v>9</v>
      </c>
      <c r="P7" s="9" t="s">
        <v>546</v>
      </c>
    </row>
    <row r="8" spans="1:19" ht="13.8" thickTop="1" x14ac:dyDescent="0.25">
      <c r="A8" s="908"/>
      <c r="B8" s="210"/>
      <c r="C8" s="132"/>
      <c r="D8" s="18"/>
      <c r="E8" s="18"/>
      <c r="F8" s="18"/>
      <c r="G8" s="18"/>
      <c r="H8" s="18"/>
      <c r="I8" s="19"/>
      <c r="J8" s="19"/>
      <c r="K8" s="19"/>
      <c r="L8" s="19"/>
      <c r="M8" s="19"/>
      <c r="N8" s="18"/>
      <c r="O8" s="19"/>
      <c r="P8" s="19"/>
    </row>
    <row r="9" spans="1:19" ht="13.8" thickBot="1" x14ac:dyDescent="0.3">
      <c r="A9" s="881">
        <v>5114</v>
      </c>
      <c r="B9" s="63" t="s">
        <v>0</v>
      </c>
      <c r="C9" s="130">
        <v>1584</v>
      </c>
      <c r="D9" s="13">
        <v>1631</v>
      </c>
      <c r="E9" s="13">
        <v>1631</v>
      </c>
      <c r="F9" s="15">
        <v>1631</v>
      </c>
      <c r="G9" s="15">
        <v>1631</v>
      </c>
      <c r="H9" s="15">
        <v>1631</v>
      </c>
      <c r="I9" s="15">
        <v>1631</v>
      </c>
      <c r="J9" s="15">
        <v>1710</v>
      </c>
      <c r="K9" s="16">
        <v>1710</v>
      </c>
      <c r="L9" s="15">
        <v>1710</v>
      </c>
      <c r="M9" s="16">
        <v>1710</v>
      </c>
      <c r="N9" s="15">
        <v>0</v>
      </c>
      <c r="O9" s="16">
        <v>1710</v>
      </c>
      <c r="P9" s="16"/>
    </row>
    <row r="10" spans="1:19" x14ac:dyDescent="0.25">
      <c r="A10" s="881"/>
      <c r="B10" s="64" t="s">
        <v>130</v>
      </c>
      <c r="C10" s="132">
        <f t="shared" ref="C10:P10" si="0">SUM(C9:C9)</f>
        <v>1584</v>
      </c>
      <c r="D10" s="18">
        <f t="shared" si="0"/>
        <v>1631</v>
      </c>
      <c r="E10" s="18">
        <f t="shared" si="0"/>
        <v>1631</v>
      </c>
      <c r="F10" s="18">
        <f t="shared" si="0"/>
        <v>1631</v>
      </c>
      <c r="G10" s="18">
        <f t="shared" si="0"/>
        <v>1631</v>
      </c>
      <c r="H10" s="18">
        <f>SUM(H9:H9)</f>
        <v>1631</v>
      </c>
      <c r="I10" s="18">
        <f t="shared" si="0"/>
        <v>1631</v>
      </c>
      <c r="J10" s="18">
        <f t="shared" ref="J10" si="1">SUM(J9:J9)</f>
        <v>1710</v>
      </c>
      <c r="K10" s="19">
        <f t="shared" ref="K10:M10" si="2">SUM(K9:K9)</f>
        <v>1710</v>
      </c>
      <c r="L10" s="18">
        <f t="shared" si="2"/>
        <v>1710</v>
      </c>
      <c r="M10" s="19">
        <f t="shared" si="2"/>
        <v>1710</v>
      </c>
      <c r="N10" s="18">
        <f t="shared" si="0"/>
        <v>0</v>
      </c>
      <c r="O10" s="19">
        <f t="shared" si="0"/>
        <v>1710</v>
      </c>
      <c r="P10" s="19">
        <f t="shared" si="0"/>
        <v>0</v>
      </c>
    </row>
    <row r="11" spans="1:19" x14ac:dyDescent="0.25">
      <c r="A11" s="881"/>
      <c r="B11" s="63"/>
      <c r="C11" s="130"/>
      <c r="D11" s="13"/>
      <c r="E11" s="13"/>
      <c r="F11" s="13"/>
      <c r="G11" s="13"/>
      <c r="H11" s="13"/>
      <c r="I11" s="13"/>
      <c r="J11" s="13"/>
      <c r="K11" s="14"/>
      <c r="L11" s="13"/>
      <c r="M11" s="14"/>
      <c r="N11" s="13"/>
      <c r="O11" s="14"/>
      <c r="P11" s="14"/>
    </row>
    <row r="12" spans="1:19" ht="13.8" thickBot="1" x14ac:dyDescent="0.3">
      <c r="A12" s="882"/>
      <c r="B12" s="723" t="s">
        <v>137</v>
      </c>
      <c r="C12" s="714">
        <f t="shared" ref="C12:O12" si="3">+C10</f>
        <v>1584</v>
      </c>
      <c r="D12" s="21">
        <f t="shared" si="3"/>
        <v>1631</v>
      </c>
      <c r="E12" s="21">
        <f t="shared" si="3"/>
        <v>1631</v>
      </c>
      <c r="F12" s="21">
        <f t="shared" si="3"/>
        <v>1631</v>
      </c>
      <c r="G12" s="21">
        <f t="shared" si="3"/>
        <v>1631</v>
      </c>
      <c r="H12" s="21">
        <f t="shared" si="3"/>
        <v>1631</v>
      </c>
      <c r="I12" s="21">
        <f t="shared" si="3"/>
        <v>1631</v>
      </c>
      <c r="J12" s="21">
        <f t="shared" ref="J12" si="4">+J10</f>
        <v>1710</v>
      </c>
      <c r="K12" s="22">
        <f t="shared" ref="K12:M12" si="5">+K10</f>
        <v>1710</v>
      </c>
      <c r="L12" s="21">
        <f t="shared" si="5"/>
        <v>1710</v>
      </c>
      <c r="M12" s="22">
        <f t="shared" si="5"/>
        <v>1710</v>
      </c>
      <c r="N12" s="22">
        <f t="shared" si="3"/>
        <v>0</v>
      </c>
      <c r="O12" s="22">
        <f t="shared" si="3"/>
        <v>1710</v>
      </c>
      <c r="P12" s="22">
        <f>+O12</f>
        <v>1710</v>
      </c>
    </row>
    <row r="13" spans="1:19" ht="13.8" thickTop="1" x14ac:dyDescent="0.25">
      <c r="A13" s="876"/>
      <c r="B13" s="724"/>
      <c r="C13" s="24"/>
      <c r="D13" s="24"/>
      <c r="E13" s="24"/>
      <c r="F13" s="24"/>
      <c r="G13" s="24"/>
      <c r="H13" s="24"/>
      <c r="I13" s="24"/>
      <c r="J13" s="24"/>
      <c r="K13" s="24"/>
      <c r="L13" s="24"/>
      <c r="M13" s="24"/>
      <c r="N13" s="25"/>
      <c r="O13" s="24"/>
      <c r="P13" s="24"/>
      <c r="Q13" s="25"/>
      <c r="R13" s="25"/>
      <c r="S13" s="25"/>
    </row>
    <row r="14" spans="1:19" ht="13.8" thickBot="1" x14ac:dyDescent="0.3">
      <c r="A14" s="876"/>
      <c r="B14" s="724"/>
      <c r="C14" s="23"/>
      <c r="D14" s="23"/>
      <c r="E14" s="23"/>
      <c r="F14" s="23"/>
      <c r="G14" s="23"/>
      <c r="H14" s="23"/>
      <c r="I14" s="23"/>
      <c r="J14" s="23"/>
      <c r="K14" s="23"/>
      <c r="L14" s="23"/>
      <c r="M14" s="23"/>
      <c r="N14" s="27"/>
      <c r="O14" s="23"/>
      <c r="P14" s="27"/>
      <c r="Q14" s="27"/>
      <c r="R14" s="27"/>
      <c r="S14" s="27"/>
    </row>
    <row r="15" spans="1:19" ht="13.8" thickTop="1" x14ac:dyDescent="0.25">
      <c r="A15" s="893"/>
      <c r="B15" s="725"/>
      <c r="C15" s="715" t="s">
        <v>127</v>
      </c>
      <c r="D15" s="454" t="s">
        <v>127</v>
      </c>
      <c r="E15" s="454" t="s">
        <v>127</v>
      </c>
      <c r="G15" s="457"/>
      <c r="K15" s="455" t="s">
        <v>547</v>
      </c>
      <c r="L15" s="456" t="s">
        <v>9</v>
      </c>
      <c r="M15" s="457" t="s">
        <v>1073</v>
      </c>
      <c r="N15" s="456" t="s">
        <v>686</v>
      </c>
      <c r="O15" s="458"/>
      <c r="P15" s="457"/>
      <c r="Q15" s="25"/>
      <c r="R15" s="27"/>
      <c r="S15" s="27"/>
    </row>
    <row r="16" spans="1:19" ht="13.8" thickBot="1" x14ac:dyDescent="0.3">
      <c r="A16" s="894" t="s">
        <v>128</v>
      </c>
      <c r="B16" s="459"/>
      <c r="C16" s="508" t="s">
        <v>347</v>
      </c>
      <c r="D16" s="460" t="s">
        <v>722</v>
      </c>
      <c r="E16" s="461" t="s">
        <v>737</v>
      </c>
      <c r="G16" s="462"/>
      <c r="K16" s="462" t="s">
        <v>909</v>
      </c>
      <c r="L16" s="462" t="s">
        <v>910</v>
      </c>
      <c r="M16" s="461" t="s">
        <v>1075</v>
      </c>
      <c r="N16" s="463" t="s">
        <v>1075</v>
      </c>
      <c r="O16" s="464" t="s">
        <v>1074</v>
      </c>
      <c r="P16" s="462"/>
      <c r="Q16" s="25"/>
      <c r="R16" s="27"/>
      <c r="S16" s="27"/>
    </row>
    <row r="17" spans="1:19" ht="13.8" thickTop="1" x14ac:dyDescent="0.25">
      <c r="A17" s="910"/>
      <c r="B17" s="505"/>
      <c r="C17" s="513"/>
      <c r="D17" s="468"/>
      <c r="E17" s="468"/>
      <c r="G17" s="471"/>
      <c r="K17" s="469"/>
      <c r="L17" s="489"/>
      <c r="M17" s="490"/>
      <c r="N17" s="488"/>
      <c r="O17" s="470"/>
      <c r="P17" s="471"/>
      <c r="Q17" s="27"/>
      <c r="R17" s="27"/>
      <c r="S17" s="27"/>
    </row>
    <row r="18" spans="1:19" x14ac:dyDescent="0.25">
      <c r="A18" s="907">
        <v>5114</v>
      </c>
      <c r="B18" s="501" t="s">
        <v>0</v>
      </c>
      <c r="C18" s="516">
        <v>1584</v>
      </c>
      <c r="D18" s="476">
        <v>1631</v>
      </c>
      <c r="E18" s="476">
        <v>1631</v>
      </c>
      <c r="G18" s="471"/>
      <c r="K18" s="475">
        <f>+M9</f>
        <v>1710</v>
      </c>
      <c r="L18" s="476">
        <f>+O9</f>
        <v>1710</v>
      </c>
      <c r="M18" s="471">
        <f>+L18-K18</f>
        <v>0</v>
      </c>
      <c r="N18" s="477" t="str">
        <f>IF(K18+L18&lt;&gt;0,IF(K18&lt;&gt;0,IF(M18&lt;&gt;0,ROUND((+M18/K18),4),""),1),"")</f>
        <v/>
      </c>
      <c r="O18" s="470"/>
      <c r="P18" s="471"/>
      <c r="Q18" s="27"/>
      <c r="R18" s="27"/>
      <c r="S18" s="27"/>
    </row>
    <row r="19" spans="1:19" x14ac:dyDescent="0.25">
      <c r="A19" s="876"/>
      <c r="B19" s="4"/>
      <c r="C19" s="23"/>
      <c r="D19" s="23"/>
      <c r="E19" s="23"/>
      <c r="F19" s="23"/>
      <c r="G19" s="23"/>
      <c r="K19" s="23"/>
      <c r="L19" s="23"/>
      <c r="M19" s="23"/>
      <c r="N19" s="27"/>
      <c r="O19" s="23"/>
      <c r="P19" s="23"/>
      <c r="Q19" s="27"/>
      <c r="R19" s="27"/>
      <c r="S19" s="27"/>
    </row>
    <row r="20" spans="1:19" x14ac:dyDescent="0.25">
      <c r="A20" s="876"/>
      <c r="B20" s="4" t="s">
        <v>1363</v>
      </c>
      <c r="C20" s="23"/>
      <c r="D20" s="23"/>
      <c r="E20" s="23"/>
      <c r="F20" s="23"/>
      <c r="G20" s="23"/>
      <c r="K20" s="742">
        <f>SUM(K18:K19)</f>
        <v>1710</v>
      </c>
      <c r="L20" s="742">
        <f>SUM(L18:L19)</f>
        <v>1710</v>
      </c>
      <c r="M20" s="202">
        <f>+L20-K20</f>
        <v>0</v>
      </c>
      <c r="N20" s="743" t="str">
        <f>IF(K20+L20&lt;&gt;0,IF(K20&lt;&gt;0,IF(M20&lt;&gt;0,ROUND((+M20/K20),4),""),1),"")</f>
        <v/>
      </c>
      <c r="O20" s="23"/>
      <c r="P20" s="23"/>
      <c r="Q20" s="27"/>
      <c r="R20" s="27"/>
      <c r="S20" s="27"/>
    </row>
    <row r="21" spans="1:19" x14ac:dyDescent="0.25">
      <c r="A21" s="876"/>
      <c r="B21" s="4"/>
      <c r="C21" s="23"/>
      <c r="D21" s="23"/>
      <c r="E21" s="23"/>
      <c r="F21" s="23"/>
      <c r="G21" s="23"/>
      <c r="H21" s="23"/>
      <c r="I21" s="23"/>
      <c r="J21" s="23"/>
      <c r="K21" s="23"/>
      <c r="L21" s="23"/>
      <c r="M21" s="23"/>
      <c r="N21" s="27"/>
      <c r="O21" s="23"/>
      <c r="P21" s="23"/>
      <c r="Q21" s="27"/>
      <c r="R21" s="27"/>
      <c r="S21" s="27"/>
    </row>
    <row r="22" spans="1:19" x14ac:dyDescent="0.25">
      <c r="A22" s="876"/>
      <c r="B22" s="4"/>
      <c r="C22" s="23"/>
      <c r="D22" s="23"/>
      <c r="E22" s="23"/>
      <c r="F22" s="23"/>
      <c r="G22" s="23"/>
      <c r="H22" s="23"/>
      <c r="I22" s="23"/>
      <c r="J22" s="23"/>
      <c r="K22" s="23"/>
      <c r="L22" s="23"/>
      <c r="M22" s="23"/>
      <c r="N22" s="27"/>
      <c r="O22" s="23"/>
      <c r="P22" s="23"/>
      <c r="Q22" s="27"/>
      <c r="R22" s="27"/>
      <c r="S22" s="27"/>
    </row>
    <row r="23" spans="1:19" x14ac:dyDescent="0.25">
      <c r="A23" s="876"/>
      <c r="B23" s="4"/>
      <c r="C23" s="23"/>
      <c r="D23" s="23"/>
      <c r="E23" s="23"/>
      <c r="F23" s="23"/>
      <c r="G23" s="23"/>
      <c r="H23" s="23"/>
      <c r="I23" s="23"/>
      <c r="J23" s="23"/>
      <c r="K23" s="23"/>
      <c r="L23" s="23"/>
      <c r="M23" s="23"/>
      <c r="N23" s="27"/>
      <c r="O23" s="23"/>
      <c r="P23" s="23"/>
      <c r="Q23" s="27"/>
      <c r="R23" s="27"/>
      <c r="S23" s="27"/>
    </row>
    <row r="24" spans="1:19" x14ac:dyDescent="0.25">
      <c r="A24" s="876"/>
      <c r="B24" s="4"/>
      <c r="C24" s="23"/>
      <c r="D24" s="23"/>
      <c r="E24" s="23"/>
      <c r="F24" s="23"/>
      <c r="G24" s="23"/>
      <c r="H24" s="23"/>
      <c r="I24" s="23"/>
      <c r="J24" s="23"/>
      <c r="K24" s="23"/>
      <c r="L24" s="23"/>
      <c r="M24" s="23"/>
      <c r="N24" s="27"/>
      <c r="O24" s="23"/>
      <c r="P24" s="23"/>
      <c r="Q24" s="27"/>
      <c r="R24" s="27"/>
      <c r="S24" s="27"/>
    </row>
    <row r="25" spans="1:19" x14ac:dyDescent="0.25">
      <c r="A25" s="876"/>
      <c r="B25" s="4"/>
      <c r="C25" s="23"/>
      <c r="D25" s="23"/>
      <c r="E25" s="23"/>
      <c r="F25" s="23"/>
      <c r="G25" s="23"/>
      <c r="H25" s="23"/>
      <c r="I25" s="23"/>
      <c r="J25" s="23"/>
      <c r="K25" s="23"/>
      <c r="L25" s="23"/>
      <c r="M25" s="23"/>
      <c r="N25" s="27"/>
      <c r="O25" s="23"/>
      <c r="P25" s="23"/>
      <c r="Q25" s="27"/>
      <c r="R25" s="27"/>
      <c r="S25" s="27"/>
    </row>
    <row r="26" spans="1:19" x14ac:dyDescent="0.25">
      <c r="A26" s="876"/>
      <c r="B26" s="4"/>
      <c r="C26" s="23"/>
      <c r="D26" s="23"/>
      <c r="E26" s="23"/>
      <c r="F26" s="23"/>
      <c r="G26" s="23"/>
      <c r="H26" s="23"/>
      <c r="I26" s="23"/>
      <c r="J26" s="23"/>
      <c r="K26" s="23"/>
      <c r="L26" s="23"/>
      <c r="M26" s="23"/>
      <c r="N26" s="27"/>
      <c r="O26" s="23"/>
      <c r="P26" s="23"/>
      <c r="Q26" s="27"/>
      <c r="R26" s="27"/>
      <c r="S26" s="27"/>
    </row>
    <row r="27" spans="1:19" x14ac:dyDescent="0.25">
      <c r="A27" s="876"/>
      <c r="B27" s="4"/>
      <c r="C27" s="23"/>
      <c r="D27" s="23"/>
      <c r="E27" s="23"/>
      <c r="F27" s="23"/>
      <c r="G27" s="23"/>
      <c r="H27" s="23"/>
      <c r="I27" s="23"/>
      <c r="J27" s="23"/>
      <c r="K27" s="23"/>
      <c r="L27" s="23"/>
      <c r="M27" s="23"/>
      <c r="N27" s="27"/>
      <c r="O27" s="23"/>
      <c r="P27" s="23"/>
      <c r="Q27" s="27"/>
      <c r="R27" s="27"/>
      <c r="S27" s="27"/>
    </row>
    <row r="28" spans="1:19" x14ac:dyDescent="0.25">
      <c r="A28" s="876"/>
      <c r="B28" s="4"/>
      <c r="C28" s="23"/>
      <c r="D28" s="23"/>
      <c r="E28" s="23"/>
      <c r="F28" s="23"/>
      <c r="G28" s="23"/>
      <c r="H28" s="23"/>
      <c r="I28" s="23"/>
      <c r="J28" s="23"/>
      <c r="K28" s="23"/>
      <c r="L28" s="23"/>
      <c r="M28" s="23"/>
      <c r="N28" s="27"/>
      <c r="O28" s="23"/>
      <c r="P28" s="23"/>
      <c r="Q28" s="27"/>
      <c r="R28" s="27"/>
      <c r="S28" s="27"/>
    </row>
    <row r="29" spans="1:19" x14ac:dyDescent="0.25">
      <c r="A29" s="876"/>
      <c r="B29" s="4"/>
      <c r="C29" s="23"/>
      <c r="D29" s="23"/>
      <c r="E29" s="23"/>
      <c r="F29" s="23"/>
      <c r="G29" s="23"/>
      <c r="H29" s="23"/>
      <c r="I29" s="23"/>
      <c r="J29" s="23"/>
      <c r="K29" s="23"/>
      <c r="L29" s="23"/>
      <c r="M29" s="23"/>
      <c r="N29" s="27"/>
      <c r="O29" s="23"/>
      <c r="P29" s="23"/>
      <c r="Q29" s="27"/>
      <c r="R29" s="27"/>
      <c r="S29" s="27"/>
    </row>
    <row r="30" spans="1:19" x14ac:dyDescent="0.25">
      <c r="A30" s="876"/>
      <c r="B30" s="4"/>
      <c r="C30" s="23"/>
      <c r="D30" s="23"/>
      <c r="E30" s="23"/>
      <c r="F30" s="23"/>
      <c r="G30" s="23"/>
      <c r="H30" s="23"/>
      <c r="I30" s="23"/>
      <c r="J30" s="23"/>
      <c r="K30" s="23"/>
      <c r="L30" s="23"/>
      <c r="M30" s="23"/>
      <c r="N30" s="27"/>
      <c r="O30" s="23"/>
      <c r="P30" s="23"/>
      <c r="Q30" s="27"/>
      <c r="R30" s="27"/>
      <c r="S30" s="27"/>
    </row>
    <row r="31" spans="1:19" x14ac:dyDescent="0.25">
      <c r="A31" s="876"/>
      <c r="B31" s="4"/>
      <c r="C31" s="23"/>
      <c r="D31" s="23"/>
      <c r="E31" s="23"/>
      <c r="F31" s="23"/>
      <c r="G31" s="23"/>
      <c r="H31" s="23"/>
      <c r="I31" s="23"/>
      <c r="J31" s="23"/>
      <c r="K31" s="23"/>
      <c r="L31" s="23"/>
      <c r="M31" s="23"/>
      <c r="N31" s="27"/>
      <c r="O31" s="23"/>
      <c r="P31" s="23"/>
      <c r="Q31" s="27"/>
      <c r="R31" s="27"/>
      <c r="S31" s="27"/>
    </row>
    <row r="32" spans="1:19" x14ac:dyDescent="0.25">
      <c r="A32" s="876"/>
      <c r="B32" s="4"/>
      <c r="C32" s="23"/>
      <c r="D32" s="23"/>
      <c r="E32" s="23"/>
      <c r="F32" s="23"/>
      <c r="G32" s="23"/>
      <c r="H32" s="23"/>
      <c r="I32" s="23"/>
      <c r="J32" s="23"/>
      <c r="K32" s="23"/>
      <c r="L32" s="23"/>
      <c r="M32" s="23"/>
      <c r="N32" s="27"/>
      <c r="O32" s="23"/>
      <c r="P32" s="23"/>
      <c r="Q32" s="27"/>
      <c r="R32" s="27"/>
      <c r="S32" s="27"/>
    </row>
    <row r="33" spans="1:19" x14ac:dyDescent="0.25">
      <c r="A33" s="876"/>
      <c r="B33" s="4"/>
      <c r="C33" s="23"/>
      <c r="D33" s="23"/>
      <c r="E33" s="23"/>
      <c r="F33" s="23"/>
      <c r="G33" s="23"/>
      <c r="H33" s="23"/>
      <c r="I33" s="23"/>
      <c r="J33" s="23"/>
      <c r="K33" s="23"/>
      <c r="L33" s="23"/>
      <c r="M33" s="23"/>
      <c r="N33" s="27"/>
      <c r="O33" s="23"/>
      <c r="P33" s="23"/>
      <c r="Q33" s="27"/>
      <c r="R33" s="27"/>
      <c r="S33" s="27"/>
    </row>
    <row r="34" spans="1:19" x14ac:dyDescent="0.25">
      <c r="A34" s="876"/>
      <c r="B34" s="4"/>
      <c r="C34" s="23"/>
      <c r="D34" s="23"/>
      <c r="E34" s="23"/>
      <c r="F34" s="23"/>
      <c r="G34" s="23"/>
      <c r="H34" s="23"/>
      <c r="I34" s="23"/>
      <c r="J34" s="23"/>
      <c r="K34" s="23"/>
      <c r="L34" s="23"/>
      <c r="M34" s="23"/>
      <c r="N34" s="27"/>
      <c r="O34" s="23"/>
      <c r="P34" s="23"/>
      <c r="Q34" s="27"/>
      <c r="R34" s="27"/>
      <c r="S34" s="27"/>
    </row>
    <row r="35" spans="1:19" x14ac:dyDescent="0.25">
      <c r="A35" s="876"/>
      <c r="B35" s="4"/>
      <c r="C35" s="23"/>
      <c r="D35" s="23"/>
      <c r="E35" s="23"/>
      <c r="F35" s="23"/>
      <c r="G35" s="23"/>
      <c r="H35" s="23"/>
      <c r="I35" s="23"/>
      <c r="J35" s="23"/>
      <c r="K35" s="23"/>
      <c r="L35" s="23"/>
      <c r="M35" s="23"/>
      <c r="N35" s="27"/>
      <c r="O35" s="23"/>
      <c r="P35" s="23"/>
      <c r="Q35" s="27"/>
      <c r="R35" s="27"/>
      <c r="S35" s="27"/>
    </row>
    <row r="36" spans="1:19" x14ac:dyDescent="0.25">
      <c r="A36" s="876"/>
      <c r="B36" s="4"/>
      <c r="C36" s="23"/>
      <c r="D36" s="23"/>
      <c r="E36" s="23"/>
      <c r="F36" s="23"/>
      <c r="G36" s="23"/>
      <c r="H36" s="23"/>
      <c r="I36" s="23"/>
      <c r="J36" s="23"/>
      <c r="K36" s="23"/>
      <c r="L36" s="23"/>
      <c r="M36" s="23"/>
      <c r="N36" s="27"/>
      <c r="O36" s="23"/>
      <c r="P36" s="23"/>
      <c r="Q36" s="27"/>
      <c r="R36" s="27"/>
      <c r="S36" s="27"/>
    </row>
    <row r="37" spans="1:19" x14ac:dyDescent="0.25">
      <c r="A37" s="876"/>
      <c r="B37" s="4"/>
      <c r="C37" s="23"/>
      <c r="D37" s="23"/>
      <c r="E37" s="23"/>
      <c r="F37" s="23"/>
      <c r="G37" s="23"/>
      <c r="H37" s="23"/>
      <c r="I37" s="23"/>
      <c r="J37" s="23"/>
      <c r="K37" s="23"/>
      <c r="L37" s="23"/>
      <c r="M37" s="23"/>
      <c r="N37" s="27"/>
      <c r="O37" s="23"/>
      <c r="P37" s="23"/>
      <c r="Q37" s="27"/>
      <c r="R37" s="27"/>
      <c r="S37" s="27"/>
    </row>
    <row r="38" spans="1:19" x14ac:dyDescent="0.25">
      <c r="A38" s="876"/>
      <c r="B38" s="4"/>
      <c r="C38" s="23"/>
      <c r="D38" s="23"/>
      <c r="E38" s="23"/>
      <c r="F38" s="23"/>
      <c r="G38" s="23"/>
      <c r="H38" s="23"/>
      <c r="I38" s="23"/>
      <c r="J38" s="23"/>
      <c r="K38" s="23"/>
      <c r="L38" s="23"/>
      <c r="M38" s="23"/>
      <c r="N38" s="27"/>
      <c r="O38" s="23"/>
      <c r="P38" s="23"/>
      <c r="Q38" s="27"/>
      <c r="R38" s="27"/>
      <c r="S38" s="27"/>
    </row>
    <row r="39" spans="1:19" x14ac:dyDescent="0.25">
      <c r="A39" s="876"/>
      <c r="B39" s="4"/>
      <c r="C39" s="23"/>
      <c r="D39" s="23"/>
      <c r="E39" s="23"/>
      <c r="F39" s="23"/>
      <c r="G39" s="23"/>
      <c r="H39" s="23"/>
      <c r="I39" s="23"/>
      <c r="J39" s="23"/>
      <c r="K39" s="23"/>
      <c r="L39" s="23"/>
      <c r="M39" s="23"/>
      <c r="N39" s="27"/>
      <c r="O39" s="23"/>
      <c r="P39" s="23"/>
      <c r="Q39" s="27"/>
      <c r="R39" s="27"/>
      <c r="S39" s="27"/>
    </row>
    <row r="40" spans="1:19" x14ac:dyDescent="0.25">
      <c r="A40" s="876"/>
      <c r="B40" s="4"/>
      <c r="C40" s="23"/>
      <c r="D40" s="23"/>
      <c r="E40" s="23"/>
      <c r="F40" s="23"/>
      <c r="G40" s="23"/>
      <c r="H40" s="23"/>
      <c r="I40" s="23"/>
      <c r="J40" s="23"/>
      <c r="K40" s="23"/>
      <c r="L40" s="23"/>
      <c r="M40" s="23"/>
      <c r="N40" s="27"/>
      <c r="O40" s="23"/>
      <c r="P40" s="23"/>
      <c r="Q40" s="27"/>
      <c r="R40" s="27"/>
      <c r="S40" s="27"/>
    </row>
    <row r="41" spans="1:19" x14ac:dyDescent="0.25">
      <c r="A41" s="876"/>
      <c r="B41" s="4"/>
      <c r="C41" s="23"/>
      <c r="D41" s="23"/>
      <c r="E41" s="23"/>
      <c r="F41" s="23"/>
      <c r="G41" s="23"/>
      <c r="H41" s="23"/>
      <c r="I41" s="23"/>
      <c r="J41" s="23"/>
      <c r="K41" s="23"/>
      <c r="L41" s="23"/>
      <c r="M41" s="23"/>
      <c r="N41" s="27"/>
      <c r="O41" s="23"/>
      <c r="P41" s="23"/>
      <c r="Q41" s="27"/>
      <c r="R41" s="27"/>
      <c r="S41" s="27"/>
    </row>
    <row r="42" spans="1:19" x14ac:dyDescent="0.25">
      <c r="A42" s="876"/>
      <c r="B42" s="4"/>
      <c r="C42" s="23"/>
      <c r="D42" s="23"/>
      <c r="E42" s="23"/>
      <c r="F42" s="23"/>
      <c r="G42" s="23"/>
      <c r="H42" s="23"/>
      <c r="I42" s="23"/>
      <c r="J42" s="23"/>
      <c r="K42" s="23"/>
      <c r="L42" s="23"/>
      <c r="M42" s="23"/>
      <c r="N42" s="27"/>
      <c r="O42" s="23"/>
      <c r="P42" s="23"/>
      <c r="Q42" s="27"/>
      <c r="R42" s="27"/>
      <c r="S42" s="27"/>
    </row>
    <row r="43" spans="1:19" x14ac:dyDescent="0.25">
      <c r="A43" s="876"/>
      <c r="B43" s="4"/>
      <c r="C43" s="23"/>
      <c r="D43" s="23"/>
      <c r="E43" s="23"/>
      <c r="F43" s="23"/>
      <c r="G43" s="23"/>
      <c r="H43" s="23"/>
      <c r="I43" s="23"/>
      <c r="J43" s="23"/>
      <c r="K43" s="23"/>
      <c r="L43" s="23"/>
      <c r="M43" s="23"/>
      <c r="N43" s="27"/>
      <c r="O43" s="23"/>
      <c r="P43" s="23"/>
      <c r="Q43" s="27"/>
      <c r="R43" s="27"/>
      <c r="S43" s="27"/>
    </row>
    <row r="44" spans="1:19" x14ac:dyDescent="0.25">
      <c r="A44" s="876"/>
      <c r="B44" s="4"/>
      <c r="C44" s="23"/>
      <c r="D44" s="23"/>
      <c r="E44" s="23"/>
      <c r="F44" s="23"/>
      <c r="G44" s="23"/>
      <c r="H44" s="23"/>
      <c r="I44" s="23"/>
      <c r="J44" s="23"/>
      <c r="K44" s="23"/>
      <c r="L44" s="23"/>
      <c r="M44" s="23"/>
      <c r="N44" s="27"/>
      <c r="O44" s="23"/>
      <c r="P44" s="23"/>
      <c r="Q44" s="27"/>
      <c r="R44" s="27"/>
      <c r="S44" s="27"/>
    </row>
    <row r="45" spans="1:19" x14ac:dyDescent="0.25">
      <c r="A45" s="876"/>
      <c r="B45" s="4"/>
      <c r="C45" s="23"/>
      <c r="D45" s="23"/>
      <c r="E45" s="23"/>
      <c r="F45" s="23"/>
      <c r="G45" s="23"/>
      <c r="H45" s="23"/>
      <c r="I45" s="23"/>
      <c r="J45" s="23"/>
      <c r="K45" s="23"/>
      <c r="L45" s="23"/>
      <c r="M45" s="23"/>
      <c r="N45" s="27"/>
      <c r="O45" s="23"/>
      <c r="P45" s="23"/>
      <c r="Q45" s="27"/>
      <c r="R45" s="27"/>
      <c r="S45" s="27"/>
    </row>
    <row r="46" spans="1:19" x14ac:dyDescent="0.25">
      <c r="A46" s="876"/>
      <c r="B46" s="4"/>
      <c r="C46" s="23"/>
      <c r="D46" s="23"/>
      <c r="E46" s="23"/>
      <c r="F46" s="23"/>
      <c r="G46" s="23"/>
      <c r="H46" s="23"/>
      <c r="I46" s="23"/>
      <c r="J46" s="23"/>
      <c r="K46" s="23"/>
      <c r="L46" s="23"/>
      <c r="M46" s="23"/>
      <c r="N46" s="27"/>
      <c r="O46" s="23"/>
      <c r="P46" s="23"/>
      <c r="Q46" s="27"/>
      <c r="R46" s="27"/>
      <c r="S46" s="27"/>
    </row>
    <row r="47" spans="1:19" x14ac:dyDescent="0.25">
      <c r="A47" s="876"/>
      <c r="B47" s="4"/>
      <c r="C47" s="23"/>
      <c r="D47" s="23"/>
      <c r="E47" s="23"/>
      <c r="F47" s="23"/>
      <c r="G47" s="23"/>
      <c r="H47" s="23"/>
      <c r="I47" s="23"/>
      <c r="J47" s="23"/>
      <c r="K47" s="23"/>
      <c r="L47" s="23"/>
      <c r="M47" s="23"/>
      <c r="N47" s="27"/>
      <c r="O47" s="23"/>
      <c r="P47" s="23"/>
      <c r="Q47" s="27"/>
      <c r="R47" s="27"/>
      <c r="S47" s="27"/>
    </row>
    <row r="48" spans="1:19" x14ac:dyDescent="0.25">
      <c r="A48" s="876"/>
      <c r="B48" s="4"/>
      <c r="C48" s="23"/>
      <c r="D48" s="23"/>
      <c r="E48" s="23"/>
      <c r="F48" s="23"/>
      <c r="G48" s="23"/>
      <c r="H48" s="23"/>
      <c r="I48" s="23"/>
      <c r="J48" s="23"/>
      <c r="K48" s="23"/>
      <c r="L48" s="23"/>
      <c r="M48" s="23"/>
      <c r="N48" s="27"/>
      <c r="O48" s="23"/>
      <c r="P48" s="23"/>
      <c r="Q48" s="27"/>
      <c r="R48" s="27"/>
      <c r="S48" s="27"/>
    </row>
    <row r="49" spans="1:19" x14ac:dyDescent="0.25">
      <c r="A49" s="876"/>
      <c r="B49" s="4"/>
      <c r="C49" s="23"/>
      <c r="D49" s="23"/>
      <c r="E49" s="23"/>
      <c r="F49" s="23"/>
      <c r="G49" s="23"/>
      <c r="H49" s="23"/>
      <c r="I49" s="23"/>
      <c r="J49" s="23"/>
      <c r="K49" s="23"/>
      <c r="L49" s="23"/>
      <c r="M49" s="23"/>
      <c r="N49" s="27"/>
      <c r="O49" s="23"/>
      <c r="P49" s="23"/>
      <c r="Q49" s="27"/>
      <c r="R49" s="27"/>
      <c r="S49" s="27"/>
    </row>
    <row r="50" spans="1:19" x14ac:dyDescent="0.25">
      <c r="A50" s="876"/>
      <c r="B50" s="4"/>
      <c r="C50" s="23"/>
      <c r="D50" s="23"/>
      <c r="E50" s="23"/>
      <c r="F50" s="23"/>
      <c r="G50" s="23"/>
      <c r="H50" s="23"/>
      <c r="I50" s="23"/>
      <c r="J50" s="23"/>
      <c r="K50" s="23"/>
      <c r="L50" s="23"/>
      <c r="M50" s="23"/>
      <c r="N50" s="27"/>
      <c r="O50" s="23"/>
      <c r="P50" s="23"/>
      <c r="Q50" s="27"/>
      <c r="R50" s="27"/>
      <c r="S50" s="27"/>
    </row>
    <row r="51" spans="1:19" x14ac:dyDescent="0.25">
      <c r="A51" s="876"/>
      <c r="B51" s="4"/>
      <c r="C51" s="23"/>
      <c r="D51" s="23"/>
      <c r="E51" s="23"/>
      <c r="F51" s="23"/>
      <c r="G51" s="23"/>
      <c r="H51" s="23"/>
      <c r="I51" s="23"/>
      <c r="J51" s="23"/>
      <c r="K51" s="23"/>
      <c r="L51" s="23"/>
      <c r="M51" s="23"/>
      <c r="N51" s="4"/>
      <c r="O51" s="23"/>
      <c r="P51" s="23"/>
      <c r="Q51" s="4"/>
      <c r="R51" s="4"/>
      <c r="S51" s="4"/>
    </row>
    <row r="52" spans="1:19" x14ac:dyDescent="0.25">
      <c r="A52" s="876"/>
      <c r="B52" s="4"/>
      <c r="C52" s="23"/>
      <c r="D52" s="23"/>
      <c r="E52" s="23"/>
      <c r="F52" s="23"/>
      <c r="G52" s="23"/>
      <c r="H52" s="23"/>
      <c r="I52" s="23"/>
      <c r="J52" s="23"/>
      <c r="K52" s="23"/>
      <c r="L52" s="23"/>
      <c r="M52" s="23"/>
      <c r="N52" s="4"/>
      <c r="O52" s="23"/>
      <c r="P52" s="23"/>
      <c r="Q52" s="4"/>
      <c r="R52" s="4"/>
      <c r="S52" s="4"/>
    </row>
    <row r="53" spans="1:19" x14ac:dyDescent="0.25">
      <c r="A53" s="876"/>
      <c r="B53" s="4"/>
      <c r="C53" s="23"/>
      <c r="D53" s="23"/>
      <c r="E53" s="23"/>
      <c r="F53" s="23"/>
      <c r="G53" s="23"/>
      <c r="H53" s="23"/>
      <c r="I53" s="23"/>
      <c r="J53" s="23"/>
      <c r="K53" s="23"/>
      <c r="L53" s="23"/>
      <c r="M53" s="23"/>
      <c r="N53" s="4"/>
      <c r="O53" s="23"/>
      <c r="P53" s="23"/>
      <c r="Q53" s="4"/>
      <c r="R53" s="4"/>
      <c r="S53" s="4"/>
    </row>
    <row r="54" spans="1:19" x14ac:dyDescent="0.25">
      <c r="A54" s="876"/>
      <c r="B54" s="4"/>
      <c r="C54" s="23"/>
      <c r="D54" s="23"/>
      <c r="E54" s="23"/>
      <c r="F54" s="23"/>
      <c r="G54" s="23"/>
      <c r="H54" s="23"/>
      <c r="I54" s="23"/>
      <c r="J54" s="23"/>
      <c r="K54" s="23"/>
      <c r="L54" s="23"/>
      <c r="M54" s="23"/>
      <c r="N54" s="4"/>
      <c r="O54" s="23"/>
      <c r="P54" s="23"/>
      <c r="Q54" s="4"/>
      <c r="R54" s="4"/>
      <c r="S54" s="4"/>
    </row>
    <row r="55" spans="1:19" x14ac:dyDescent="0.25">
      <c r="A55" s="876"/>
      <c r="B55" s="4"/>
      <c r="C55" s="23"/>
      <c r="D55" s="23"/>
      <c r="E55" s="23"/>
      <c r="F55" s="23"/>
      <c r="G55" s="23"/>
      <c r="H55" s="23"/>
      <c r="I55" s="23"/>
      <c r="J55" s="23"/>
      <c r="K55" s="23"/>
      <c r="L55" s="23"/>
      <c r="M55" s="23"/>
      <c r="N55" s="4"/>
      <c r="O55" s="23"/>
      <c r="P55" s="23"/>
      <c r="Q55" s="4"/>
      <c r="R55" s="4"/>
      <c r="S55" s="4"/>
    </row>
    <row r="56" spans="1:19" x14ac:dyDescent="0.25">
      <c r="A56" s="876"/>
      <c r="B56" s="4"/>
      <c r="C56" s="23"/>
      <c r="D56" s="23"/>
      <c r="E56" s="23"/>
      <c r="F56" s="23"/>
      <c r="G56" s="23"/>
      <c r="H56" s="23"/>
      <c r="I56" s="23"/>
      <c r="J56" s="23"/>
      <c r="K56" s="23"/>
      <c r="L56" s="23"/>
      <c r="M56" s="23"/>
      <c r="N56" s="4"/>
      <c r="O56" s="23"/>
      <c r="P56" s="23"/>
      <c r="Q56" s="4"/>
      <c r="R56" s="4"/>
      <c r="S56" s="4"/>
    </row>
    <row r="57" spans="1:19" x14ac:dyDescent="0.25">
      <c r="A57" s="876"/>
      <c r="B57" s="4"/>
      <c r="C57" s="23"/>
      <c r="D57" s="23"/>
      <c r="E57" s="23"/>
      <c r="F57" s="23"/>
      <c r="G57" s="23"/>
      <c r="H57" s="23"/>
      <c r="I57" s="23"/>
      <c r="J57" s="23"/>
      <c r="K57" s="23"/>
      <c r="L57" s="23"/>
      <c r="M57" s="23"/>
      <c r="N57" s="4"/>
      <c r="O57" s="23"/>
      <c r="P57" s="23"/>
      <c r="Q57" s="4"/>
      <c r="R57" s="4"/>
      <c r="S57" s="4"/>
    </row>
    <row r="58" spans="1:19" x14ac:dyDescent="0.25">
      <c r="A58" s="876"/>
      <c r="B58" s="4"/>
      <c r="C58" s="23"/>
      <c r="D58" s="23"/>
      <c r="E58" s="23"/>
      <c r="F58" s="23"/>
      <c r="G58" s="23"/>
      <c r="H58" s="23"/>
      <c r="I58" s="23"/>
      <c r="J58" s="23"/>
      <c r="K58" s="23"/>
      <c r="L58" s="23"/>
      <c r="M58" s="23"/>
      <c r="N58" s="4"/>
      <c r="O58" s="23"/>
      <c r="P58" s="23"/>
      <c r="Q58" s="4"/>
      <c r="R58" s="4"/>
      <c r="S58" s="4"/>
    </row>
    <row r="59" spans="1:19" x14ac:dyDescent="0.25">
      <c r="A59" s="876"/>
      <c r="B59" s="4"/>
      <c r="C59" s="23"/>
      <c r="D59" s="23"/>
      <c r="E59" s="23"/>
      <c r="F59" s="23"/>
      <c r="G59" s="23"/>
      <c r="H59" s="23"/>
      <c r="I59" s="23"/>
      <c r="J59" s="23"/>
      <c r="K59" s="23"/>
      <c r="L59" s="23"/>
      <c r="M59" s="23"/>
      <c r="N59" s="4"/>
      <c r="O59" s="23"/>
      <c r="P59" s="23"/>
      <c r="Q59" s="4"/>
      <c r="R59" s="4"/>
      <c r="S59" s="4"/>
    </row>
    <row r="60" spans="1:19" x14ac:dyDescent="0.25">
      <c r="A60" s="876"/>
      <c r="B60" s="4"/>
      <c r="C60" s="23"/>
      <c r="D60" s="23"/>
      <c r="E60" s="23"/>
      <c r="F60" s="23"/>
      <c r="G60" s="23"/>
      <c r="H60" s="23"/>
      <c r="I60" s="23"/>
      <c r="J60" s="23"/>
      <c r="K60" s="23"/>
      <c r="L60" s="23"/>
      <c r="M60" s="23"/>
      <c r="N60" s="4"/>
      <c r="O60" s="23"/>
      <c r="P60" s="23"/>
      <c r="Q60" s="4"/>
      <c r="R60" s="4"/>
      <c r="S60" s="4"/>
    </row>
    <row r="61" spans="1:19" x14ac:dyDescent="0.25">
      <c r="A61" s="876"/>
      <c r="B61" s="4"/>
      <c r="C61" s="23"/>
      <c r="D61" s="23"/>
      <c r="E61" s="23"/>
      <c r="F61" s="23"/>
      <c r="G61" s="23"/>
      <c r="H61" s="23"/>
      <c r="I61" s="23"/>
      <c r="J61" s="23"/>
      <c r="K61" s="23"/>
      <c r="L61" s="23"/>
      <c r="M61" s="23"/>
      <c r="N61" s="4"/>
      <c r="O61" s="23"/>
      <c r="P61" s="23"/>
      <c r="Q61" s="4"/>
      <c r="R61" s="4"/>
      <c r="S61" s="4"/>
    </row>
    <row r="62" spans="1:19" x14ac:dyDescent="0.25">
      <c r="A62" s="876"/>
      <c r="B62" s="4"/>
      <c r="C62" s="23"/>
      <c r="D62" s="23"/>
      <c r="E62" s="23"/>
      <c r="F62" s="23"/>
      <c r="G62" s="23"/>
      <c r="H62" s="23"/>
      <c r="I62" s="23"/>
      <c r="J62" s="23"/>
      <c r="K62" s="23"/>
      <c r="L62" s="23"/>
      <c r="M62" s="23"/>
      <c r="N62" s="4"/>
      <c r="O62" s="23"/>
      <c r="P62" s="23"/>
      <c r="Q62" s="4"/>
      <c r="R62" s="4"/>
      <c r="S62" s="4"/>
    </row>
    <row r="63" spans="1:19" x14ac:dyDescent="0.25">
      <c r="A63" s="876"/>
      <c r="B63" s="4"/>
      <c r="C63" s="23"/>
      <c r="D63" s="23"/>
      <c r="E63" s="23"/>
      <c r="F63" s="23"/>
      <c r="G63" s="23"/>
      <c r="H63" s="23"/>
      <c r="I63" s="23"/>
      <c r="J63" s="23"/>
      <c r="K63" s="23"/>
      <c r="L63" s="23"/>
      <c r="M63" s="23"/>
      <c r="N63" s="4"/>
      <c r="O63" s="23"/>
      <c r="P63" s="23"/>
      <c r="Q63" s="4"/>
      <c r="R63" s="4"/>
      <c r="S63" s="4"/>
    </row>
    <row r="64" spans="1:19" x14ac:dyDescent="0.25">
      <c r="A64" s="876"/>
      <c r="B64" s="4"/>
      <c r="C64" s="23"/>
      <c r="D64" s="23"/>
      <c r="E64" s="23"/>
      <c r="F64" s="23"/>
      <c r="G64" s="23"/>
      <c r="H64" s="23"/>
      <c r="I64" s="23"/>
      <c r="J64" s="23"/>
      <c r="K64" s="23"/>
      <c r="L64" s="23"/>
      <c r="M64" s="23"/>
      <c r="N64" s="4"/>
      <c r="O64" s="23"/>
      <c r="P64" s="23"/>
      <c r="Q64" s="4"/>
      <c r="R64" s="4"/>
      <c r="S64" s="4"/>
    </row>
    <row r="65" spans="1:19" x14ac:dyDescent="0.25">
      <c r="A65" s="876"/>
      <c r="B65" s="4"/>
      <c r="C65" s="23"/>
      <c r="D65" s="23"/>
      <c r="E65" s="23"/>
      <c r="F65" s="23"/>
      <c r="G65" s="23"/>
      <c r="H65" s="23"/>
      <c r="I65" s="23"/>
      <c r="J65" s="23"/>
      <c r="K65" s="23"/>
      <c r="L65" s="23"/>
      <c r="M65" s="23"/>
      <c r="N65" s="4"/>
      <c r="O65" s="23"/>
      <c r="P65" s="23"/>
      <c r="Q65" s="4"/>
      <c r="R65" s="4"/>
      <c r="S65" s="4"/>
    </row>
    <row r="66" spans="1:19" x14ac:dyDescent="0.25">
      <c r="A66" s="876"/>
      <c r="B66" s="4"/>
      <c r="C66" s="23"/>
      <c r="D66" s="23"/>
      <c r="E66" s="23"/>
      <c r="F66" s="23"/>
      <c r="G66" s="23"/>
      <c r="H66" s="23"/>
      <c r="I66" s="23"/>
      <c r="J66" s="23"/>
      <c r="K66" s="23"/>
      <c r="L66" s="23"/>
      <c r="M66" s="23"/>
      <c r="N66" s="4"/>
      <c r="O66" s="23"/>
      <c r="P66" s="23"/>
      <c r="Q66" s="4"/>
      <c r="R66" s="4"/>
      <c r="S66" s="4"/>
    </row>
    <row r="67" spans="1:19" x14ac:dyDescent="0.25">
      <c r="A67" s="876"/>
      <c r="B67" s="4"/>
      <c r="C67" s="23"/>
      <c r="D67" s="23"/>
      <c r="E67" s="23"/>
      <c r="F67" s="23"/>
      <c r="G67" s="23"/>
      <c r="H67" s="23"/>
      <c r="I67" s="23"/>
      <c r="J67" s="23"/>
      <c r="K67" s="23"/>
      <c r="L67" s="23"/>
      <c r="M67" s="23"/>
      <c r="N67" s="4"/>
      <c r="O67" s="23"/>
      <c r="P67" s="23"/>
      <c r="Q67" s="4"/>
      <c r="R67" s="4"/>
      <c r="S67" s="4"/>
    </row>
    <row r="68" spans="1:19" x14ac:dyDescent="0.25">
      <c r="A68" s="876"/>
      <c r="B68" s="4"/>
      <c r="C68" s="23"/>
      <c r="D68" s="23"/>
      <c r="E68" s="23"/>
      <c r="F68" s="23"/>
      <c r="G68" s="23"/>
      <c r="H68" s="23"/>
      <c r="I68" s="23"/>
      <c r="J68" s="23"/>
      <c r="K68" s="23"/>
      <c r="L68" s="23"/>
      <c r="M68" s="23"/>
      <c r="N68" s="4"/>
      <c r="O68" s="23"/>
      <c r="P68" s="23"/>
      <c r="Q68" s="4"/>
      <c r="R68" s="4"/>
      <c r="S68" s="4"/>
    </row>
    <row r="69" spans="1:19" x14ac:dyDescent="0.25">
      <c r="A69" s="876"/>
      <c r="B69" s="4"/>
      <c r="C69" s="23"/>
      <c r="D69" s="23"/>
      <c r="E69" s="23"/>
      <c r="F69" s="23"/>
      <c r="G69" s="23"/>
      <c r="H69" s="23"/>
      <c r="I69" s="23"/>
      <c r="J69" s="23"/>
      <c r="K69" s="23"/>
      <c r="L69" s="23"/>
      <c r="M69" s="23"/>
      <c r="N69" s="4"/>
      <c r="O69" s="23"/>
      <c r="P69" s="23"/>
      <c r="Q69" s="4"/>
      <c r="R69" s="4"/>
      <c r="S69" s="4"/>
    </row>
    <row r="70" spans="1:19" x14ac:dyDescent="0.25">
      <c r="A70" s="876"/>
      <c r="B70" s="4"/>
      <c r="C70" s="23"/>
      <c r="D70" s="23"/>
      <c r="E70" s="23"/>
      <c r="F70" s="23"/>
      <c r="G70" s="23"/>
      <c r="H70" s="23"/>
      <c r="I70" s="23"/>
      <c r="J70" s="23"/>
      <c r="K70" s="23"/>
      <c r="L70" s="23"/>
      <c r="M70" s="23"/>
      <c r="N70" s="4"/>
      <c r="O70" s="23"/>
      <c r="P70" s="23"/>
      <c r="Q70" s="4"/>
      <c r="R70" s="4"/>
      <c r="S70" s="4"/>
    </row>
    <row r="71" spans="1:19" x14ac:dyDescent="0.25">
      <c r="A71" s="876"/>
      <c r="B71" s="4"/>
      <c r="C71" s="23"/>
      <c r="D71" s="23"/>
      <c r="E71" s="23"/>
      <c r="F71" s="23"/>
      <c r="G71" s="23"/>
      <c r="H71" s="23"/>
      <c r="I71" s="23"/>
      <c r="J71" s="23"/>
      <c r="K71" s="23"/>
      <c r="L71" s="23"/>
      <c r="M71" s="23"/>
      <c r="N71" s="4"/>
      <c r="O71" s="23"/>
      <c r="P71" s="23"/>
      <c r="Q71" s="4"/>
      <c r="R71" s="4"/>
      <c r="S71" s="4"/>
    </row>
    <row r="72" spans="1:19" x14ac:dyDescent="0.25">
      <c r="A72" s="876"/>
      <c r="B72" s="4"/>
      <c r="C72" s="23"/>
      <c r="D72" s="23"/>
      <c r="E72" s="23"/>
      <c r="F72" s="23"/>
      <c r="G72" s="23"/>
      <c r="H72" s="23"/>
      <c r="I72" s="23"/>
      <c r="J72" s="23"/>
      <c r="K72" s="23"/>
      <c r="L72" s="23"/>
      <c r="M72" s="23"/>
      <c r="N72" s="4"/>
      <c r="O72" s="23"/>
      <c r="P72" s="23"/>
      <c r="Q72" s="4"/>
      <c r="R72" s="4"/>
      <c r="S72" s="4"/>
    </row>
    <row r="73" spans="1:19" x14ac:dyDescent="0.25">
      <c r="A73" s="876"/>
      <c r="B73" s="4"/>
      <c r="C73" s="23"/>
      <c r="D73" s="23"/>
      <c r="E73" s="23"/>
      <c r="F73" s="23"/>
      <c r="G73" s="23"/>
      <c r="H73" s="23"/>
      <c r="I73" s="23"/>
      <c r="J73" s="23"/>
      <c r="K73" s="23"/>
      <c r="L73" s="23"/>
      <c r="M73" s="23"/>
      <c r="N73" s="4"/>
      <c r="O73" s="23"/>
      <c r="P73" s="23"/>
      <c r="Q73" s="4"/>
      <c r="R73" s="4"/>
      <c r="S73" s="4"/>
    </row>
    <row r="74" spans="1:19" x14ac:dyDescent="0.25">
      <c r="A74" s="876"/>
      <c r="B74" s="4"/>
      <c r="C74" s="23"/>
      <c r="D74" s="23"/>
      <c r="E74" s="23"/>
      <c r="F74" s="23"/>
      <c r="G74" s="23"/>
      <c r="H74" s="23"/>
      <c r="I74" s="23"/>
      <c r="J74" s="23"/>
      <c r="K74" s="23"/>
      <c r="L74" s="23"/>
      <c r="M74" s="23"/>
      <c r="N74" s="4"/>
      <c r="O74" s="23"/>
      <c r="P74" s="23"/>
      <c r="Q74" s="4"/>
      <c r="R74" s="4"/>
      <c r="S74" s="4"/>
    </row>
    <row r="75" spans="1:19" x14ac:dyDescent="0.25">
      <c r="A75" s="876"/>
      <c r="B75" s="4"/>
      <c r="C75" s="23"/>
      <c r="D75" s="23"/>
      <c r="E75" s="23"/>
      <c r="F75" s="23"/>
      <c r="G75" s="23"/>
      <c r="H75" s="23"/>
      <c r="I75" s="23"/>
      <c r="J75" s="23"/>
      <c r="K75" s="23"/>
      <c r="L75" s="23"/>
      <c r="M75" s="23"/>
      <c r="N75" s="4"/>
      <c r="O75" s="23"/>
      <c r="P75" s="23"/>
      <c r="Q75" s="4"/>
      <c r="R75" s="4"/>
      <c r="S75" s="4"/>
    </row>
    <row r="76" spans="1:19" x14ac:dyDescent="0.25">
      <c r="A76" s="876"/>
      <c r="B76" s="4"/>
      <c r="C76" s="23"/>
      <c r="D76" s="23"/>
      <c r="E76" s="23"/>
      <c r="F76" s="23"/>
      <c r="G76" s="23"/>
      <c r="H76" s="23"/>
      <c r="I76" s="23"/>
      <c r="J76" s="23"/>
      <c r="K76" s="23"/>
      <c r="L76" s="23"/>
      <c r="M76" s="23"/>
      <c r="N76" s="4"/>
      <c r="O76" s="23"/>
      <c r="P76" s="23"/>
      <c r="Q76" s="4"/>
      <c r="R76" s="4"/>
      <c r="S76" s="4"/>
    </row>
    <row r="77" spans="1:19" x14ac:dyDescent="0.25">
      <c r="A77" s="876"/>
      <c r="B77" s="4"/>
      <c r="C77" s="23"/>
      <c r="D77" s="23"/>
      <c r="E77" s="23"/>
      <c r="F77" s="23"/>
      <c r="G77" s="23"/>
      <c r="H77" s="23"/>
      <c r="I77" s="23"/>
      <c r="J77" s="23"/>
      <c r="K77" s="23"/>
      <c r="L77" s="23"/>
      <c r="M77" s="23"/>
      <c r="N77" s="4"/>
      <c r="O77" s="23"/>
      <c r="P77" s="23"/>
      <c r="Q77" s="4"/>
      <c r="R77" s="4"/>
      <c r="S77" s="4"/>
    </row>
    <row r="78" spans="1:19" x14ac:dyDescent="0.25">
      <c r="A78" s="876"/>
      <c r="B78" s="4"/>
      <c r="C78" s="23"/>
      <c r="D78" s="23"/>
      <c r="E78" s="23"/>
      <c r="F78" s="23"/>
      <c r="G78" s="23"/>
      <c r="H78" s="23"/>
      <c r="I78" s="23"/>
      <c r="J78" s="23"/>
      <c r="K78" s="23"/>
      <c r="L78" s="23"/>
      <c r="M78" s="23"/>
      <c r="N78" s="4"/>
      <c r="O78" s="23"/>
      <c r="P78" s="23"/>
      <c r="Q78" s="4"/>
      <c r="R78" s="4"/>
      <c r="S78" s="4"/>
    </row>
    <row r="79" spans="1:19" x14ac:dyDescent="0.25">
      <c r="A79" s="876"/>
      <c r="B79" s="4"/>
      <c r="C79" s="23"/>
      <c r="D79" s="23"/>
      <c r="E79" s="23"/>
      <c r="F79" s="23"/>
      <c r="G79" s="23"/>
      <c r="H79" s="23"/>
      <c r="I79" s="23"/>
      <c r="J79" s="23"/>
      <c r="K79" s="23"/>
      <c r="L79" s="23"/>
      <c r="M79" s="23"/>
      <c r="N79" s="4"/>
      <c r="O79" s="23"/>
      <c r="P79" s="23"/>
      <c r="Q79" s="4"/>
      <c r="R79" s="4"/>
      <c r="S79" s="4"/>
    </row>
    <row r="80" spans="1:19" x14ac:dyDescent="0.25">
      <c r="A80" s="876"/>
      <c r="B80" s="4"/>
      <c r="C80" s="23"/>
      <c r="D80" s="23"/>
      <c r="E80" s="23"/>
      <c r="F80" s="23"/>
      <c r="G80" s="23"/>
      <c r="H80" s="23"/>
      <c r="I80" s="23"/>
      <c r="J80" s="23"/>
      <c r="K80" s="23"/>
      <c r="L80" s="23"/>
      <c r="M80" s="23"/>
      <c r="N80" s="4"/>
      <c r="O80" s="23"/>
      <c r="P80" s="23"/>
      <c r="Q80" s="4"/>
      <c r="R80" s="4"/>
      <c r="S80" s="4"/>
    </row>
    <row r="81" spans="1:19" x14ac:dyDescent="0.25">
      <c r="A81" s="876"/>
      <c r="B81" s="4"/>
      <c r="C81" s="23"/>
      <c r="D81" s="23"/>
      <c r="E81" s="23"/>
      <c r="F81" s="23"/>
      <c r="G81" s="23"/>
      <c r="H81" s="23"/>
      <c r="I81" s="23"/>
      <c r="J81" s="23"/>
      <c r="K81" s="23"/>
      <c r="L81" s="23"/>
      <c r="M81" s="23"/>
      <c r="N81" s="4"/>
      <c r="O81" s="23"/>
      <c r="P81" s="23"/>
      <c r="Q81" s="4"/>
      <c r="R81" s="4"/>
      <c r="S81" s="4"/>
    </row>
    <row r="82" spans="1:19" x14ac:dyDescent="0.25">
      <c r="A82" s="876"/>
      <c r="B82" s="4"/>
      <c r="C82" s="23"/>
      <c r="D82" s="23"/>
      <c r="E82" s="23"/>
      <c r="F82" s="23"/>
      <c r="G82" s="23"/>
      <c r="H82" s="23"/>
      <c r="I82" s="23"/>
      <c r="J82" s="23"/>
      <c r="K82" s="23"/>
      <c r="L82" s="23"/>
      <c r="M82" s="23"/>
      <c r="N82" s="4"/>
      <c r="O82" s="23"/>
      <c r="P82" s="23"/>
      <c r="Q82" s="4"/>
      <c r="R82" s="4"/>
      <c r="S82" s="4"/>
    </row>
    <row r="83" spans="1:19" x14ac:dyDescent="0.25">
      <c r="A83" s="876"/>
      <c r="B83" s="4"/>
      <c r="C83" s="23"/>
      <c r="D83" s="23"/>
      <c r="E83" s="23"/>
      <c r="F83" s="23"/>
      <c r="G83" s="23"/>
      <c r="H83" s="23"/>
      <c r="I83" s="23"/>
      <c r="J83" s="23"/>
      <c r="K83" s="23"/>
      <c r="L83" s="23"/>
      <c r="M83" s="23"/>
      <c r="N83" s="4"/>
      <c r="O83" s="23"/>
      <c r="P83" s="23"/>
      <c r="Q83" s="4"/>
      <c r="R83" s="4"/>
      <c r="S83" s="4"/>
    </row>
    <row r="84" spans="1:19" x14ac:dyDescent="0.25">
      <c r="A84" s="876"/>
      <c r="B84" s="4"/>
      <c r="C84" s="23"/>
      <c r="D84" s="23"/>
      <c r="E84" s="23"/>
      <c r="F84" s="23"/>
      <c r="G84" s="23"/>
      <c r="H84" s="23"/>
      <c r="I84" s="23"/>
      <c r="J84" s="23"/>
      <c r="K84" s="23"/>
      <c r="L84" s="23"/>
      <c r="M84" s="23"/>
      <c r="N84" s="4"/>
      <c r="O84" s="23"/>
      <c r="P84" s="23"/>
      <c r="Q84" s="4"/>
      <c r="R84" s="4"/>
      <c r="S84" s="4"/>
    </row>
    <row r="85" spans="1:19" x14ac:dyDescent="0.25">
      <c r="A85" s="876"/>
      <c r="B85" s="4"/>
      <c r="C85" s="23"/>
      <c r="D85" s="23"/>
      <c r="E85" s="23"/>
      <c r="F85" s="23"/>
      <c r="G85" s="23"/>
      <c r="H85" s="23"/>
      <c r="I85" s="23"/>
      <c r="J85" s="23"/>
      <c r="K85" s="23"/>
      <c r="L85" s="23"/>
      <c r="M85" s="23"/>
      <c r="N85" s="4"/>
      <c r="O85" s="23"/>
      <c r="P85" s="23"/>
      <c r="Q85" s="4"/>
      <c r="R85" s="4"/>
      <c r="S85" s="4"/>
    </row>
    <row r="86" spans="1:19" x14ac:dyDescent="0.25">
      <c r="A86" s="876"/>
      <c r="B86" s="4"/>
      <c r="C86" s="23"/>
      <c r="D86" s="23"/>
      <c r="E86" s="23"/>
      <c r="F86" s="23"/>
      <c r="G86" s="23"/>
      <c r="H86" s="23"/>
      <c r="I86" s="23"/>
      <c r="J86" s="23"/>
      <c r="K86" s="23"/>
      <c r="L86" s="23"/>
      <c r="M86" s="23"/>
      <c r="N86" s="4"/>
      <c r="O86" s="23"/>
      <c r="P86" s="23"/>
      <c r="Q86" s="4"/>
      <c r="R86" s="4"/>
      <c r="S86" s="4"/>
    </row>
    <row r="87" spans="1:19" x14ac:dyDescent="0.25">
      <c r="A87" s="876"/>
      <c r="B87" s="4"/>
      <c r="C87" s="23"/>
      <c r="D87" s="23"/>
      <c r="E87" s="23"/>
      <c r="F87" s="23"/>
      <c r="G87" s="23"/>
      <c r="H87" s="23"/>
      <c r="I87" s="23"/>
      <c r="J87" s="23"/>
      <c r="K87" s="23"/>
      <c r="L87" s="23"/>
      <c r="M87" s="23"/>
      <c r="N87" s="4"/>
      <c r="O87" s="23"/>
      <c r="P87" s="23"/>
      <c r="Q87" s="4"/>
      <c r="R87" s="4"/>
      <c r="S87" s="4"/>
    </row>
    <row r="88" spans="1:19" x14ac:dyDescent="0.25">
      <c r="A88" s="876"/>
      <c r="B88" s="4"/>
      <c r="C88" s="23"/>
      <c r="D88" s="23"/>
      <c r="E88" s="23"/>
      <c r="F88" s="23"/>
      <c r="G88" s="23"/>
      <c r="H88" s="23"/>
      <c r="I88" s="23"/>
      <c r="J88" s="23"/>
      <c r="K88" s="23"/>
      <c r="L88" s="23"/>
      <c r="M88" s="23"/>
      <c r="N88" s="4"/>
      <c r="O88" s="23"/>
      <c r="P88" s="23"/>
      <c r="Q88" s="4"/>
      <c r="R88" s="4"/>
      <c r="S88" s="4"/>
    </row>
    <row r="89" spans="1:19" x14ac:dyDescent="0.25">
      <c r="A89" s="876"/>
      <c r="B89" s="4"/>
      <c r="C89" s="23"/>
      <c r="D89" s="23"/>
      <c r="E89" s="23"/>
      <c r="F89" s="23"/>
      <c r="G89" s="23"/>
      <c r="H89" s="23"/>
      <c r="I89" s="23"/>
      <c r="J89" s="23"/>
      <c r="K89" s="23"/>
      <c r="L89" s="23"/>
      <c r="M89" s="23"/>
      <c r="N89" s="4"/>
      <c r="O89" s="23"/>
      <c r="P89" s="23"/>
      <c r="Q89" s="4"/>
      <c r="R89" s="4"/>
      <c r="S89" s="4"/>
    </row>
    <row r="90" spans="1:19" x14ac:dyDescent="0.25">
      <c r="A90" s="876"/>
      <c r="B90" s="4"/>
      <c r="C90" s="23"/>
      <c r="D90" s="23"/>
      <c r="E90" s="23"/>
      <c r="F90" s="23"/>
      <c r="G90" s="23"/>
      <c r="H90" s="23"/>
      <c r="I90" s="23"/>
      <c r="J90" s="23"/>
      <c r="K90" s="23"/>
      <c r="L90" s="23"/>
      <c r="M90" s="23"/>
      <c r="N90" s="4"/>
      <c r="O90" s="23"/>
      <c r="P90" s="23"/>
      <c r="Q90" s="4"/>
      <c r="R90" s="4"/>
      <c r="S90" s="4"/>
    </row>
    <row r="91" spans="1:19" x14ac:dyDescent="0.25">
      <c r="A91" s="876"/>
      <c r="B91" s="4"/>
      <c r="C91" s="23"/>
      <c r="D91" s="23"/>
      <c r="E91" s="23"/>
      <c r="F91" s="23"/>
      <c r="G91" s="23"/>
      <c r="H91" s="23"/>
      <c r="I91" s="23"/>
      <c r="J91" s="23"/>
      <c r="K91" s="23"/>
      <c r="L91" s="23"/>
      <c r="M91" s="23"/>
      <c r="N91" s="4"/>
      <c r="O91" s="23"/>
      <c r="P91" s="23"/>
      <c r="Q91" s="4"/>
      <c r="R91" s="4"/>
      <c r="S91" s="4"/>
    </row>
    <row r="92" spans="1:19" x14ac:dyDescent="0.25">
      <c r="A92" s="876"/>
      <c r="B92" s="4"/>
      <c r="C92" s="23"/>
      <c r="D92" s="23"/>
      <c r="E92" s="23"/>
      <c r="F92" s="23"/>
      <c r="G92" s="23"/>
      <c r="H92" s="23"/>
      <c r="I92" s="23"/>
      <c r="J92" s="23"/>
      <c r="K92" s="23"/>
      <c r="L92" s="23"/>
      <c r="M92" s="23"/>
      <c r="N92" s="4"/>
      <c r="O92" s="23"/>
      <c r="P92" s="23"/>
      <c r="Q92" s="4"/>
      <c r="R92" s="4"/>
      <c r="S92" s="4"/>
    </row>
    <row r="93" spans="1:19" x14ac:dyDescent="0.25">
      <c r="A93" s="876"/>
      <c r="B93" s="4"/>
      <c r="C93" s="23"/>
      <c r="D93" s="23"/>
      <c r="E93" s="23"/>
      <c r="F93" s="23"/>
      <c r="G93" s="23"/>
      <c r="H93" s="23"/>
      <c r="I93" s="23"/>
      <c r="J93" s="23"/>
      <c r="K93" s="23"/>
      <c r="L93" s="23"/>
      <c r="M93" s="23"/>
      <c r="N93" s="4"/>
      <c r="O93" s="23"/>
      <c r="P93" s="23"/>
      <c r="Q93" s="4"/>
      <c r="R93" s="4"/>
      <c r="S93" s="4"/>
    </row>
    <row r="94" spans="1:19" x14ac:dyDescent="0.25">
      <c r="A94" s="876"/>
      <c r="B94" s="4"/>
      <c r="C94" s="23"/>
      <c r="D94" s="23"/>
      <c r="E94" s="23"/>
      <c r="F94" s="23"/>
      <c r="G94" s="23"/>
      <c r="H94" s="23"/>
      <c r="I94" s="23"/>
      <c r="J94" s="23"/>
      <c r="K94" s="23"/>
      <c r="L94" s="23"/>
      <c r="M94" s="23"/>
      <c r="N94" s="4"/>
      <c r="O94" s="23"/>
      <c r="P94" s="23"/>
      <c r="Q94" s="4"/>
      <c r="R94" s="4"/>
      <c r="S94" s="4"/>
    </row>
    <row r="95" spans="1:19" x14ac:dyDescent="0.25">
      <c r="A95" s="876"/>
      <c r="B95" s="4"/>
      <c r="C95" s="23"/>
      <c r="D95" s="23"/>
      <c r="E95" s="23"/>
      <c r="F95" s="23"/>
      <c r="G95" s="23"/>
      <c r="H95" s="23"/>
      <c r="I95" s="23"/>
      <c r="J95" s="23"/>
      <c r="K95" s="23"/>
      <c r="L95" s="23"/>
      <c r="M95" s="23"/>
      <c r="N95" s="4"/>
      <c r="O95" s="23"/>
      <c r="P95" s="23"/>
      <c r="Q95" s="4"/>
      <c r="R95" s="4"/>
      <c r="S95" s="4"/>
    </row>
    <row r="96" spans="1:19" x14ac:dyDescent="0.25">
      <c r="A96" s="876"/>
      <c r="B96" s="4"/>
      <c r="C96" s="23"/>
      <c r="D96" s="23"/>
      <c r="E96" s="23"/>
      <c r="F96" s="23"/>
      <c r="G96" s="23"/>
      <c r="H96" s="23"/>
      <c r="I96" s="23"/>
      <c r="J96" s="23"/>
      <c r="K96" s="23"/>
      <c r="L96" s="23"/>
      <c r="M96" s="23"/>
      <c r="N96" s="4"/>
      <c r="O96" s="23"/>
      <c r="P96" s="23"/>
      <c r="Q96" s="4"/>
      <c r="R96" s="4"/>
      <c r="S96" s="4"/>
    </row>
    <row r="97" spans="1:19" x14ac:dyDescent="0.25">
      <c r="A97" s="876"/>
      <c r="B97" s="4"/>
      <c r="C97" s="23"/>
      <c r="D97" s="23"/>
      <c r="E97" s="23"/>
      <c r="F97" s="23"/>
      <c r="G97" s="23"/>
      <c r="H97" s="23"/>
      <c r="I97" s="23"/>
      <c r="J97" s="23"/>
      <c r="K97" s="23"/>
      <c r="L97" s="23"/>
      <c r="M97" s="23"/>
      <c r="N97" s="4"/>
      <c r="O97" s="23"/>
      <c r="P97" s="23"/>
      <c r="Q97" s="4"/>
      <c r="R97" s="4"/>
      <c r="S97" s="4"/>
    </row>
    <row r="98" spans="1:19" x14ac:dyDescent="0.25">
      <c r="A98" s="876"/>
      <c r="B98" s="4"/>
      <c r="C98" s="23"/>
      <c r="D98" s="23"/>
      <c r="E98" s="23"/>
      <c r="F98" s="23"/>
      <c r="G98" s="23"/>
      <c r="H98" s="23"/>
      <c r="I98" s="23"/>
      <c r="J98" s="23"/>
      <c r="K98" s="23"/>
      <c r="L98" s="23"/>
      <c r="M98" s="23"/>
      <c r="N98" s="4"/>
      <c r="O98" s="23"/>
      <c r="P98" s="23"/>
      <c r="Q98" s="4"/>
      <c r="R98" s="4"/>
      <c r="S98" s="4"/>
    </row>
    <row r="99" spans="1:19" x14ac:dyDescent="0.25">
      <c r="A99" s="876"/>
      <c r="B99" s="4"/>
      <c r="C99" s="23"/>
      <c r="D99" s="23"/>
      <c r="E99" s="23"/>
      <c r="F99" s="23"/>
      <c r="G99" s="23"/>
      <c r="H99" s="23"/>
      <c r="I99" s="23"/>
      <c r="J99" s="23"/>
      <c r="K99" s="23"/>
      <c r="L99" s="23"/>
      <c r="M99" s="23"/>
      <c r="N99" s="4"/>
      <c r="O99" s="23"/>
      <c r="P99" s="23"/>
      <c r="Q99" s="4"/>
      <c r="R99" s="4"/>
      <c r="S99" s="4"/>
    </row>
    <row r="100" spans="1:19" x14ac:dyDescent="0.25">
      <c r="A100" s="876"/>
      <c r="B100" s="4"/>
      <c r="C100" s="23"/>
      <c r="D100" s="23"/>
      <c r="E100" s="23"/>
      <c r="F100" s="23"/>
      <c r="G100" s="23"/>
      <c r="H100" s="23"/>
      <c r="I100" s="23"/>
      <c r="J100" s="23"/>
      <c r="K100" s="23"/>
      <c r="L100" s="23"/>
      <c r="M100" s="23"/>
      <c r="N100" s="4"/>
      <c r="O100" s="23"/>
      <c r="P100" s="23"/>
      <c r="Q100" s="4"/>
      <c r="R100" s="4"/>
      <c r="S100" s="4"/>
    </row>
    <row r="101" spans="1:19" x14ac:dyDescent="0.25">
      <c r="A101" s="876"/>
      <c r="B101" s="4"/>
      <c r="C101" s="23"/>
      <c r="D101" s="23"/>
      <c r="E101" s="23"/>
      <c r="F101" s="23"/>
      <c r="G101" s="23"/>
      <c r="H101" s="23"/>
      <c r="I101" s="23"/>
      <c r="J101" s="23"/>
      <c r="K101" s="23"/>
      <c r="L101" s="23"/>
      <c r="M101" s="23"/>
      <c r="N101" s="4"/>
      <c r="O101" s="23"/>
      <c r="P101" s="23"/>
      <c r="Q101" s="4"/>
      <c r="R101" s="4"/>
      <c r="S101" s="4"/>
    </row>
    <row r="102" spans="1:19" x14ac:dyDescent="0.25">
      <c r="A102" s="876"/>
      <c r="B102" s="4"/>
      <c r="C102" s="23"/>
      <c r="D102" s="23"/>
      <c r="E102" s="23"/>
      <c r="F102" s="23"/>
      <c r="G102" s="23"/>
      <c r="H102" s="23"/>
      <c r="I102" s="23"/>
      <c r="J102" s="23"/>
      <c r="K102" s="23"/>
      <c r="L102" s="23"/>
      <c r="M102" s="23"/>
      <c r="N102" s="4"/>
      <c r="O102" s="23"/>
      <c r="P102" s="23"/>
      <c r="Q102" s="4"/>
      <c r="R102" s="4"/>
      <c r="S102" s="4"/>
    </row>
    <row r="103" spans="1:19" x14ac:dyDescent="0.25">
      <c r="A103" s="876"/>
      <c r="B103" s="4"/>
      <c r="C103" s="23"/>
      <c r="D103" s="23"/>
      <c r="E103" s="23"/>
      <c r="F103" s="23"/>
      <c r="G103" s="23"/>
      <c r="H103" s="23"/>
      <c r="I103" s="23"/>
      <c r="J103" s="23"/>
      <c r="K103" s="23"/>
      <c r="L103" s="23"/>
      <c r="M103" s="23"/>
      <c r="N103" s="4"/>
      <c r="O103" s="23"/>
      <c r="P103" s="23"/>
      <c r="Q103" s="4"/>
      <c r="R103" s="4"/>
      <c r="S103" s="4"/>
    </row>
    <row r="104" spans="1:19" x14ac:dyDescent="0.25">
      <c r="A104" s="876"/>
      <c r="B104" s="4"/>
      <c r="C104" s="23"/>
      <c r="D104" s="23"/>
      <c r="E104" s="23"/>
      <c r="F104" s="23"/>
      <c r="G104" s="23"/>
      <c r="H104" s="23"/>
      <c r="I104" s="23"/>
      <c r="J104" s="23"/>
      <c r="K104" s="23"/>
      <c r="L104" s="23"/>
      <c r="M104" s="23"/>
      <c r="N104" s="4"/>
      <c r="O104" s="23"/>
      <c r="P104" s="23"/>
      <c r="Q104" s="4"/>
      <c r="R104" s="4"/>
      <c r="S104" s="4"/>
    </row>
    <row r="105" spans="1:19" x14ac:dyDescent="0.25">
      <c r="A105" s="876"/>
      <c r="B105" s="4"/>
      <c r="C105" s="23"/>
      <c r="D105" s="23"/>
      <c r="E105" s="23"/>
      <c r="F105" s="23"/>
      <c r="G105" s="23"/>
      <c r="H105" s="23"/>
      <c r="I105" s="23"/>
      <c r="J105" s="23"/>
      <c r="K105" s="23"/>
      <c r="L105" s="23"/>
      <c r="M105" s="23"/>
      <c r="N105" s="4"/>
      <c r="O105" s="23"/>
      <c r="P105" s="23"/>
      <c r="Q105" s="4"/>
      <c r="R105" s="4"/>
      <c r="S105" s="4"/>
    </row>
    <row r="106" spans="1:19" x14ac:dyDescent="0.25">
      <c r="A106" s="876"/>
      <c r="B106" s="4"/>
      <c r="C106" s="23"/>
      <c r="D106" s="23"/>
      <c r="E106" s="23"/>
      <c r="F106" s="23"/>
      <c r="G106" s="23"/>
      <c r="H106" s="23"/>
      <c r="I106" s="23"/>
      <c r="J106" s="23"/>
      <c r="K106" s="23"/>
      <c r="L106" s="23"/>
      <c r="M106" s="23"/>
      <c r="N106" s="4"/>
      <c r="O106" s="23"/>
      <c r="P106" s="23"/>
      <c r="Q106" s="4"/>
      <c r="R106" s="4"/>
      <c r="S106" s="4"/>
    </row>
    <row r="107" spans="1:19" x14ac:dyDescent="0.25">
      <c r="A107" s="876"/>
      <c r="B107" s="4"/>
      <c r="C107" s="23"/>
      <c r="D107" s="23"/>
      <c r="E107" s="23"/>
      <c r="F107" s="23"/>
      <c r="G107" s="23"/>
      <c r="H107" s="23"/>
      <c r="I107" s="23"/>
      <c r="J107" s="23"/>
      <c r="K107" s="23"/>
      <c r="L107" s="23"/>
      <c r="M107" s="23"/>
      <c r="N107" s="4"/>
      <c r="O107" s="23"/>
      <c r="P107" s="23"/>
      <c r="Q107" s="4"/>
      <c r="R107" s="4"/>
      <c r="S107" s="4"/>
    </row>
    <row r="108" spans="1:19" x14ac:dyDescent="0.25">
      <c r="A108" s="876"/>
      <c r="B108" s="4"/>
      <c r="C108" s="23"/>
      <c r="D108" s="23"/>
      <c r="E108" s="23"/>
      <c r="F108" s="23"/>
      <c r="G108" s="23"/>
      <c r="H108" s="23"/>
      <c r="I108" s="23"/>
      <c r="J108" s="23"/>
      <c r="K108" s="23"/>
      <c r="L108" s="23"/>
      <c r="M108" s="23"/>
      <c r="N108" s="4"/>
      <c r="O108" s="23"/>
      <c r="P108" s="23"/>
      <c r="Q108" s="4"/>
      <c r="R108" s="4"/>
      <c r="S108" s="4"/>
    </row>
    <row r="109" spans="1:19" x14ac:dyDescent="0.25">
      <c r="A109" s="876"/>
      <c r="B109" s="4"/>
      <c r="C109" s="23"/>
      <c r="D109" s="23"/>
      <c r="E109" s="23"/>
      <c r="F109" s="23"/>
      <c r="G109" s="23"/>
      <c r="H109" s="23"/>
      <c r="I109" s="23"/>
      <c r="J109" s="23"/>
      <c r="K109" s="23"/>
      <c r="L109" s="23"/>
      <c r="M109" s="23"/>
      <c r="N109" s="4"/>
      <c r="O109" s="23"/>
      <c r="P109" s="23"/>
      <c r="Q109" s="4"/>
      <c r="R109" s="4"/>
      <c r="S109" s="4"/>
    </row>
    <row r="110" spans="1:19" x14ac:dyDescent="0.25">
      <c r="A110" s="876"/>
      <c r="B110" s="4"/>
      <c r="C110" s="23"/>
      <c r="D110" s="23"/>
      <c r="E110" s="23"/>
      <c r="F110" s="23"/>
      <c r="G110" s="23"/>
      <c r="H110" s="23"/>
      <c r="I110" s="23"/>
      <c r="J110" s="23"/>
      <c r="K110" s="23"/>
      <c r="L110" s="23"/>
      <c r="M110" s="23"/>
      <c r="N110" s="4"/>
      <c r="O110" s="23"/>
      <c r="P110" s="23"/>
      <c r="Q110" s="4"/>
      <c r="R110" s="4"/>
      <c r="S110" s="4"/>
    </row>
    <row r="111" spans="1:19" x14ac:dyDescent="0.25">
      <c r="A111" s="876"/>
      <c r="B111" s="4"/>
      <c r="C111" s="23"/>
      <c r="D111" s="23"/>
      <c r="E111" s="23"/>
      <c r="F111" s="23"/>
      <c r="G111" s="23"/>
      <c r="H111" s="23"/>
      <c r="I111" s="23"/>
      <c r="J111" s="23"/>
      <c r="K111" s="23"/>
      <c r="L111" s="23"/>
      <c r="M111" s="23"/>
      <c r="N111" s="4"/>
      <c r="O111" s="23"/>
      <c r="P111" s="23"/>
      <c r="Q111" s="4"/>
      <c r="R111" s="4"/>
      <c r="S111" s="4"/>
    </row>
    <row r="112" spans="1:19" x14ac:dyDescent="0.25">
      <c r="A112" s="876"/>
      <c r="B112" s="4"/>
      <c r="C112" s="23"/>
      <c r="D112" s="23"/>
      <c r="E112" s="23"/>
      <c r="F112" s="23"/>
      <c r="G112" s="23"/>
      <c r="H112" s="23"/>
      <c r="I112" s="23"/>
      <c r="J112" s="23"/>
      <c r="K112" s="23"/>
      <c r="L112" s="23"/>
      <c r="M112" s="23"/>
      <c r="N112" s="4"/>
      <c r="O112" s="23"/>
      <c r="P112" s="23"/>
      <c r="Q112" s="4"/>
      <c r="R112" s="4"/>
      <c r="S112" s="4"/>
    </row>
    <row r="113" spans="1:19" x14ac:dyDescent="0.25">
      <c r="A113" s="876"/>
      <c r="B113" s="4"/>
      <c r="C113" s="23"/>
      <c r="D113" s="23"/>
      <c r="E113" s="23"/>
      <c r="F113" s="23"/>
      <c r="G113" s="23"/>
      <c r="H113" s="23"/>
      <c r="I113" s="23"/>
      <c r="J113" s="23"/>
      <c r="K113" s="23"/>
      <c r="L113" s="23"/>
      <c r="M113" s="23"/>
      <c r="N113" s="4"/>
      <c r="O113" s="23"/>
      <c r="P113" s="23"/>
      <c r="Q113" s="4"/>
      <c r="R113" s="4"/>
      <c r="S113" s="4"/>
    </row>
    <row r="114" spans="1:19" x14ac:dyDescent="0.25">
      <c r="A114" s="876"/>
      <c r="B114" s="4"/>
      <c r="C114" s="23"/>
      <c r="D114" s="23"/>
      <c r="E114" s="23"/>
      <c r="F114" s="23"/>
      <c r="G114" s="23"/>
      <c r="H114" s="23"/>
      <c r="I114" s="23"/>
      <c r="J114" s="23"/>
      <c r="K114" s="23"/>
      <c r="L114" s="23"/>
      <c r="M114" s="23"/>
      <c r="N114" s="4"/>
      <c r="O114" s="23"/>
      <c r="P114" s="23"/>
      <c r="Q114" s="4"/>
      <c r="R114" s="4"/>
      <c r="S114" s="4"/>
    </row>
    <row r="115" spans="1:19" x14ac:dyDescent="0.25">
      <c r="A115" s="876"/>
      <c r="B115" s="4"/>
      <c r="C115" s="23"/>
      <c r="D115" s="23"/>
      <c r="E115" s="23"/>
      <c r="F115" s="23"/>
      <c r="G115" s="23"/>
      <c r="H115" s="23"/>
      <c r="I115" s="23"/>
      <c r="J115" s="23"/>
      <c r="K115" s="23"/>
      <c r="L115" s="23"/>
      <c r="M115" s="23"/>
      <c r="N115" s="4"/>
      <c r="O115" s="23"/>
      <c r="P115" s="23"/>
      <c r="Q115" s="4"/>
      <c r="R115" s="4"/>
      <c r="S115" s="4"/>
    </row>
    <row r="116" spans="1:19" x14ac:dyDescent="0.25">
      <c r="A116" s="876"/>
      <c r="B116" s="4"/>
      <c r="C116" s="23"/>
      <c r="D116" s="23"/>
      <c r="E116" s="23"/>
      <c r="F116" s="23"/>
      <c r="G116" s="23"/>
      <c r="H116" s="23"/>
      <c r="I116" s="23"/>
      <c r="J116" s="23"/>
      <c r="K116" s="23"/>
      <c r="L116" s="23"/>
      <c r="M116" s="23"/>
      <c r="N116" s="4"/>
      <c r="O116" s="23"/>
      <c r="P116" s="23"/>
      <c r="Q116" s="4"/>
      <c r="R116" s="4"/>
      <c r="S116" s="4"/>
    </row>
    <row r="117" spans="1:19" x14ac:dyDescent="0.25">
      <c r="C117" s="114"/>
    </row>
    <row r="118" spans="1:19" x14ac:dyDescent="0.25">
      <c r="C118" s="114"/>
    </row>
    <row r="119" spans="1:19" x14ac:dyDescent="0.25">
      <c r="C119" s="114"/>
    </row>
    <row r="120" spans="1:19" x14ac:dyDescent="0.25">
      <c r="C120" s="114"/>
    </row>
    <row r="121" spans="1:19" x14ac:dyDescent="0.25">
      <c r="C121" s="114"/>
    </row>
    <row r="122" spans="1:19" x14ac:dyDescent="0.25">
      <c r="C122" s="114"/>
    </row>
    <row r="123" spans="1:19" x14ac:dyDescent="0.25">
      <c r="C123" s="114"/>
    </row>
    <row r="124" spans="1:19" x14ac:dyDescent="0.25">
      <c r="C124" s="114"/>
    </row>
    <row r="125" spans="1:19" x14ac:dyDescent="0.25">
      <c r="C125" s="114"/>
    </row>
    <row r="126" spans="1:19" x14ac:dyDescent="0.25">
      <c r="C126" s="114"/>
    </row>
    <row r="127" spans="1:19" x14ac:dyDescent="0.25">
      <c r="C127" s="114"/>
    </row>
    <row r="128" spans="1:19" x14ac:dyDescent="0.25">
      <c r="C128" s="114"/>
    </row>
    <row r="129" spans="3:3" x14ac:dyDescent="0.25">
      <c r="C129" s="114"/>
    </row>
    <row r="130" spans="3:3" x14ac:dyDescent="0.25">
      <c r="C130" s="114"/>
    </row>
    <row r="131" spans="3:3" x14ac:dyDescent="0.25">
      <c r="C131" s="114"/>
    </row>
    <row r="132" spans="3:3" x14ac:dyDescent="0.25">
      <c r="C132" s="114"/>
    </row>
    <row r="133" spans="3:3" x14ac:dyDescent="0.25">
      <c r="C133" s="114"/>
    </row>
    <row r="134" spans="3:3" x14ac:dyDescent="0.25">
      <c r="C134" s="114"/>
    </row>
    <row r="135" spans="3:3" x14ac:dyDescent="0.25">
      <c r="C135" s="114"/>
    </row>
    <row r="136" spans="3:3" x14ac:dyDescent="0.25">
      <c r="C136" s="114"/>
    </row>
    <row r="137" spans="3:3" x14ac:dyDescent="0.25">
      <c r="C137" s="114"/>
    </row>
    <row r="138" spans="3:3" x14ac:dyDescent="0.25">
      <c r="C138" s="114"/>
    </row>
    <row r="139" spans="3:3" x14ac:dyDescent="0.25">
      <c r="C139" s="114"/>
    </row>
    <row r="140" spans="3:3" x14ac:dyDescent="0.25">
      <c r="C140" s="114"/>
    </row>
    <row r="141" spans="3:3" x14ac:dyDescent="0.25">
      <c r="C141" s="114"/>
    </row>
    <row r="142" spans="3:3" x14ac:dyDescent="0.25">
      <c r="C142" s="114"/>
    </row>
    <row r="143" spans="3:3" x14ac:dyDescent="0.25">
      <c r="C143" s="114"/>
    </row>
    <row r="144" spans="3:3" x14ac:dyDescent="0.25">
      <c r="C144" s="114"/>
    </row>
    <row r="145" spans="3:3" x14ac:dyDescent="0.25">
      <c r="C145" s="114"/>
    </row>
    <row r="146" spans="3:3" x14ac:dyDescent="0.25">
      <c r="C146" s="114"/>
    </row>
    <row r="147" spans="3:3" x14ac:dyDescent="0.25">
      <c r="C147" s="114"/>
    </row>
    <row r="148" spans="3:3" x14ac:dyDescent="0.25">
      <c r="C148" s="114"/>
    </row>
    <row r="149" spans="3:3" x14ac:dyDescent="0.25">
      <c r="C149" s="114"/>
    </row>
    <row r="150" spans="3:3" x14ac:dyDescent="0.25">
      <c r="C150" s="114"/>
    </row>
    <row r="151" spans="3:3" x14ac:dyDescent="0.25">
      <c r="C151" s="114"/>
    </row>
    <row r="152" spans="3:3" x14ac:dyDescent="0.25">
      <c r="C152" s="114"/>
    </row>
    <row r="153" spans="3:3" x14ac:dyDescent="0.25">
      <c r="C153" s="114"/>
    </row>
    <row r="154" spans="3:3" x14ac:dyDescent="0.25">
      <c r="C154" s="114"/>
    </row>
    <row r="155" spans="3:3" x14ac:dyDescent="0.25">
      <c r="C155" s="114"/>
    </row>
    <row r="156" spans="3:3" x14ac:dyDescent="0.25">
      <c r="C156" s="114"/>
    </row>
    <row r="157" spans="3:3" x14ac:dyDescent="0.25">
      <c r="C157" s="114"/>
    </row>
    <row r="158" spans="3:3" x14ac:dyDescent="0.25">
      <c r="C158" s="114"/>
    </row>
    <row r="159" spans="3:3" x14ac:dyDescent="0.25">
      <c r="C159" s="114"/>
    </row>
    <row r="160" spans="3:3" x14ac:dyDescent="0.25">
      <c r="C160" s="114"/>
    </row>
    <row r="161" spans="3:3" x14ac:dyDescent="0.25">
      <c r="C161" s="114"/>
    </row>
    <row r="162" spans="3:3" x14ac:dyDescent="0.25">
      <c r="C162" s="114"/>
    </row>
    <row r="163" spans="3:3" x14ac:dyDescent="0.25">
      <c r="C163" s="114"/>
    </row>
    <row r="164" spans="3:3" x14ac:dyDescent="0.25">
      <c r="C164" s="114"/>
    </row>
    <row r="165" spans="3:3" x14ac:dyDescent="0.25">
      <c r="C165" s="114"/>
    </row>
    <row r="166" spans="3:3" x14ac:dyDescent="0.25">
      <c r="C166" s="114"/>
    </row>
    <row r="167" spans="3:3" x14ac:dyDescent="0.25">
      <c r="C167" s="114"/>
    </row>
    <row r="168" spans="3:3" x14ac:dyDescent="0.25">
      <c r="C168" s="114"/>
    </row>
  </sheetData>
  <phoneticPr fontId="0" type="noConversion"/>
  <hyperlinks>
    <hyperlink ref="A1" location="'Working Budget with funding det'!A1" display="Main " xr:uid="{00000000-0004-0000-1F00-000000000000}"/>
    <hyperlink ref="B1" location="'Table of Contents'!A1" display="TOC" xr:uid="{00000000-0004-0000-1F00-000001000000}"/>
  </hyperlinks>
  <pageMargins left="0.75" right="0.75" top="1" bottom="1" header="0.5" footer="0.5"/>
  <pageSetup orientation="landscape" horizontalDpi="300" verticalDpi="300" r:id="rId1"/>
  <headerFooter alignWithMargins="0">
    <oddFooter>&amp;L&amp;D     &amp;T&amp;C&amp;F&amp;R&amp;A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S189"/>
  <sheetViews>
    <sheetView tabSelected="1" zoomScale="75" zoomScaleNormal="75" workbookViewId="0">
      <pane ySplit="4" topLeftCell="A5" activePane="bottomLeft" state="frozen"/>
      <selection pane="bottomLeft"/>
    </sheetView>
  </sheetViews>
  <sheetFormatPr defaultRowHeight="15" x14ac:dyDescent="0.25"/>
  <cols>
    <col min="1" max="1" width="40" customWidth="1"/>
    <col min="2" max="6" width="18.77734375" style="2" hidden="1" customWidth="1"/>
    <col min="7" max="8" width="16.6640625" style="2" hidden="1" customWidth="1"/>
    <col min="9" max="12" width="16.6640625" style="2" customWidth="1"/>
    <col min="13" max="13" width="13" customWidth="1"/>
    <col min="14" max="14" width="16.77734375" bestFit="1" customWidth="1"/>
    <col min="15" max="15" width="12.109375" customWidth="1"/>
    <col min="16" max="16" width="45.44140625" style="813" customWidth="1"/>
    <col min="17" max="19" width="16.33203125" customWidth="1"/>
  </cols>
  <sheetData>
    <row r="1" spans="1:19" x14ac:dyDescent="0.25">
      <c r="A1" s="596" t="s">
        <v>1621</v>
      </c>
      <c r="B1" s="599" t="s">
        <v>347</v>
      </c>
      <c r="C1" s="599" t="s">
        <v>722</v>
      </c>
      <c r="D1" s="599" t="s">
        <v>737</v>
      </c>
      <c r="E1" s="599" t="s">
        <v>800</v>
      </c>
      <c r="F1" s="599" t="s">
        <v>890</v>
      </c>
      <c r="G1" s="599" t="s">
        <v>1018</v>
      </c>
      <c r="H1" s="599" t="s">
        <v>1072</v>
      </c>
      <c r="I1" s="599" t="s">
        <v>1223</v>
      </c>
      <c r="J1" s="599" t="s">
        <v>1325</v>
      </c>
      <c r="K1" s="599" t="s">
        <v>1435</v>
      </c>
      <c r="L1" s="599" t="s">
        <v>1613</v>
      </c>
      <c r="M1" s="599"/>
      <c r="N1" s="599"/>
      <c r="O1" s="596"/>
    </row>
    <row r="2" spans="1:19" x14ac:dyDescent="0.25">
      <c r="A2" s="371" t="s">
        <v>1348</v>
      </c>
      <c r="B2" s="597"/>
      <c r="C2" s="597"/>
      <c r="D2" s="599"/>
      <c r="E2" s="599"/>
      <c r="F2" s="599"/>
      <c r="G2" s="599"/>
      <c r="H2" s="599"/>
      <c r="I2" s="599"/>
      <c r="J2" s="599"/>
      <c r="K2" s="599"/>
      <c r="L2" s="599" t="s">
        <v>1195</v>
      </c>
      <c r="M2" s="636"/>
      <c r="N2" s="596"/>
      <c r="O2" s="596"/>
    </row>
    <row r="3" spans="1:19" x14ac:dyDescent="0.25">
      <c r="A3" s="596"/>
      <c r="B3" s="599" t="s">
        <v>127</v>
      </c>
      <c r="C3" s="599" t="s">
        <v>127</v>
      </c>
      <c r="D3" s="599" t="s">
        <v>127</v>
      </c>
      <c r="E3" s="599" t="s">
        <v>127</v>
      </c>
      <c r="F3" s="599" t="s">
        <v>127</v>
      </c>
      <c r="G3" s="598" t="s">
        <v>127</v>
      </c>
      <c r="H3" s="598" t="s">
        <v>127</v>
      </c>
      <c r="I3" s="598" t="s">
        <v>127</v>
      </c>
      <c r="J3" s="598" t="s">
        <v>127</v>
      </c>
      <c r="K3" s="637" t="s">
        <v>547</v>
      </c>
      <c r="L3" s="637" t="s">
        <v>547</v>
      </c>
      <c r="M3" s="599"/>
      <c r="N3" s="596"/>
      <c r="O3" s="596"/>
      <c r="P3" s="813" t="s">
        <v>1448</v>
      </c>
    </row>
    <row r="4" spans="1:19" x14ac:dyDescent="0.25">
      <c r="A4" s="596"/>
      <c r="B4" s="599" t="s">
        <v>534</v>
      </c>
      <c r="C4" s="599" t="s">
        <v>534</v>
      </c>
      <c r="D4" s="599" t="s">
        <v>534</v>
      </c>
      <c r="E4" s="599" t="s">
        <v>534</v>
      </c>
      <c r="F4" s="599" t="s">
        <v>534</v>
      </c>
      <c r="G4" s="598" t="s">
        <v>534</v>
      </c>
      <c r="H4" s="598" t="s">
        <v>534</v>
      </c>
      <c r="I4" s="598" t="s">
        <v>534</v>
      </c>
      <c r="J4" s="598" t="s">
        <v>534</v>
      </c>
      <c r="K4" s="637" t="s">
        <v>949</v>
      </c>
      <c r="L4" s="637" t="s">
        <v>949</v>
      </c>
      <c r="M4" s="596"/>
      <c r="N4" s="596"/>
      <c r="O4" s="596"/>
    </row>
    <row r="5" spans="1:19" x14ac:dyDescent="0.25">
      <c r="A5" s="596"/>
      <c r="B5" s="599"/>
      <c r="C5" s="599"/>
      <c r="D5" s="597"/>
      <c r="E5" s="597"/>
      <c r="F5" s="597"/>
      <c r="G5" s="597"/>
      <c r="H5" s="597"/>
      <c r="I5" s="597"/>
      <c r="J5" s="597"/>
      <c r="K5" s="597"/>
      <c r="L5" s="597"/>
      <c r="M5" s="596"/>
      <c r="N5" s="596"/>
      <c r="O5" s="596"/>
    </row>
    <row r="6" spans="1:19" x14ac:dyDescent="0.25">
      <c r="A6" s="596"/>
      <c r="B6" s="599"/>
      <c r="C6" s="599"/>
      <c r="D6" s="597"/>
      <c r="E6" s="597"/>
      <c r="F6" s="597"/>
      <c r="G6" s="599"/>
      <c r="H6" s="597"/>
      <c r="I6" s="597"/>
      <c r="J6" s="597"/>
      <c r="K6" s="597"/>
      <c r="L6" s="597"/>
      <c r="M6" s="596"/>
      <c r="N6" s="596"/>
      <c r="O6" s="596"/>
    </row>
    <row r="7" spans="1:19" ht="15.6" x14ac:dyDescent="0.3">
      <c r="A7" s="638" t="s">
        <v>407</v>
      </c>
      <c r="B7" s="597"/>
      <c r="C7" s="597"/>
      <c r="D7" s="597"/>
      <c r="E7" s="597"/>
      <c r="F7" s="597"/>
      <c r="G7" s="599"/>
      <c r="H7" s="597"/>
      <c r="I7" s="597"/>
      <c r="J7" s="597"/>
      <c r="K7" s="597"/>
      <c r="L7" s="597"/>
      <c r="M7" s="615"/>
      <c r="N7" s="596"/>
      <c r="O7" s="596"/>
    </row>
    <row r="8" spans="1:19" x14ac:dyDescent="0.25">
      <c r="A8" s="596" t="s">
        <v>125</v>
      </c>
      <c r="B8" s="602">
        <v>12456970</v>
      </c>
      <c r="C8" s="639">
        <f t="shared" ref="C8:F8" si="0">+B8+B9+B10</f>
        <v>12911745</v>
      </c>
      <c r="D8" s="597">
        <f t="shared" si="0"/>
        <v>13690149</v>
      </c>
      <c r="E8" s="639">
        <f t="shared" si="0"/>
        <v>14144902</v>
      </c>
      <c r="F8" s="597">
        <f t="shared" si="0"/>
        <v>14642844</v>
      </c>
      <c r="G8" s="597">
        <v>15274313</v>
      </c>
      <c r="H8" s="597">
        <f>+G8+G9+G10</f>
        <v>16267561</v>
      </c>
      <c r="I8" s="597">
        <f>+H8+H9+H10</f>
        <v>17194323</v>
      </c>
      <c r="J8" s="597">
        <f>+I8+I9+I10</f>
        <v>18178839</v>
      </c>
      <c r="K8" s="597">
        <f>+J8+J9+J10</f>
        <v>19037452</v>
      </c>
      <c r="L8" s="597">
        <f>+K8+K9+K10</f>
        <v>19683180</v>
      </c>
      <c r="M8" s="615"/>
      <c r="N8" s="596"/>
      <c r="O8" s="596"/>
    </row>
    <row r="9" spans="1:19" x14ac:dyDescent="0.25">
      <c r="A9" s="640">
        <v>2.5000000000000001E-2</v>
      </c>
      <c r="B9" s="602">
        <v>311424</v>
      </c>
      <c r="C9" s="639">
        <f t="shared" ref="C9:H9" si="1">ROUND((+C8*0.025),0)</f>
        <v>322794</v>
      </c>
      <c r="D9" s="597">
        <f t="shared" si="1"/>
        <v>342254</v>
      </c>
      <c r="E9" s="639">
        <f t="shared" si="1"/>
        <v>353623</v>
      </c>
      <c r="F9" s="639">
        <f t="shared" si="1"/>
        <v>366071</v>
      </c>
      <c r="G9" s="639">
        <f t="shared" si="1"/>
        <v>381858</v>
      </c>
      <c r="H9" s="639">
        <f t="shared" si="1"/>
        <v>406689</v>
      </c>
      <c r="I9" s="639">
        <f>429614-9761</f>
        <v>419853</v>
      </c>
      <c r="J9" s="639">
        <f>ROUND((+J8*0.025),0)</f>
        <v>454471</v>
      </c>
      <c r="K9" s="639">
        <f>ROUND((+K8*0.025),0)</f>
        <v>475936</v>
      </c>
      <c r="L9" s="639">
        <f>ROUND((+L8*0.025),0)</f>
        <v>492080</v>
      </c>
      <c r="M9" s="615"/>
      <c r="N9" s="596"/>
      <c r="O9" s="596"/>
    </row>
    <row r="10" spans="1:19" x14ac:dyDescent="0.25">
      <c r="A10" s="596" t="s">
        <v>408</v>
      </c>
      <c r="B10" s="373">
        <v>143351</v>
      </c>
      <c r="C10" s="639">
        <v>455610</v>
      </c>
      <c r="D10" s="597">
        <v>112499</v>
      </c>
      <c r="E10" s="639">
        <v>144319</v>
      </c>
      <c r="F10" s="639">
        <v>264355</v>
      </c>
      <c r="G10" s="639">
        <v>611390</v>
      </c>
      <c r="H10" s="639">
        <v>520073</v>
      </c>
      <c r="I10" s="639">
        <v>564663</v>
      </c>
      <c r="J10" s="639">
        <v>404142</v>
      </c>
      <c r="K10" s="639">
        <v>169792</v>
      </c>
      <c r="L10" s="639">
        <v>120000</v>
      </c>
      <c r="M10" s="615"/>
      <c r="N10" s="596"/>
      <c r="O10" s="596"/>
    </row>
    <row r="11" spans="1:19" x14ac:dyDescent="0.25">
      <c r="A11" s="596" t="s">
        <v>409</v>
      </c>
      <c r="B11" s="373">
        <v>713128</v>
      </c>
      <c r="C11" s="639">
        <v>674566</v>
      </c>
      <c r="D11" s="597">
        <v>679626</v>
      </c>
      <c r="E11" s="639">
        <v>677179</v>
      </c>
      <c r="F11" s="639">
        <v>675388</v>
      </c>
      <c r="G11" s="639">
        <v>747324</v>
      </c>
      <c r="H11" s="639">
        <v>742178</v>
      </c>
      <c r="I11" s="639">
        <v>925371</v>
      </c>
      <c r="J11" s="639">
        <v>1165193</v>
      </c>
      <c r="K11" s="639">
        <v>1156948</v>
      </c>
      <c r="L11" s="639">
        <f>+'Debt Exclusion Calc.'!I25</f>
        <v>1182555.67</v>
      </c>
      <c r="M11" s="615"/>
      <c r="N11" s="596"/>
      <c r="O11" s="596"/>
      <c r="S11" s="2">
        <f>+L16+L28+L54</f>
        <v>24566917.670000002</v>
      </c>
    </row>
    <row r="12" spans="1:19" x14ac:dyDescent="0.25">
      <c r="A12" s="596" t="s">
        <v>1337</v>
      </c>
      <c r="B12" s="373"/>
      <c r="C12" s="639"/>
      <c r="D12" s="597"/>
      <c r="E12" s="639"/>
      <c r="F12" s="639"/>
      <c r="G12" s="639"/>
      <c r="H12" s="639"/>
      <c r="I12" s="639">
        <v>-300815</v>
      </c>
      <c r="J12" s="639">
        <v>-509000</v>
      </c>
      <c r="K12" s="639">
        <f>-703597-K15</f>
        <v>-634172</v>
      </c>
      <c r="L12" s="639">
        <v>-500000</v>
      </c>
      <c r="M12" s="615"/>
      <c r="N12" s="596"/>
      <c r="O12" s="596"/>
      <c r="P12" s="813" t="s">
        <v>1449</v>
      </c>
      <c r="S12" s="2">
        <f>+J16+J28+J54</f>
        <v>23276351</v>
      </c>
    </row>
    <row r="13" spans="1:19" x14ac:dyDescent="0.25">
      <c r="A13" s="596" t="s">
        <v>414</v>
      </c>
      <c r="B13" s="641">
        <f t="shared" ref="B13:H13" si="2">SUM(B8:B11)</f>
        <v>13624873</v>
      </c>
      <c r="C13" s="642">
        <f t="shared" si="2"/>
        <v>14364715</v>
      </c>
      <c r="D13" s="641">
        <f t="shared" si="2"/>
        <v>14824528</v>
      </c>
      <c r="E13" s="642">
        <f t="shared" si="2"/>
        <v>15320023</v>
      </c>
      <c r="F13" s="642">
        <f t="shared" si="2"/>
        <v>15948658</v>
      </c>
      <c r="G13" s="642">
        <f>SUM(G8:G11)</f>
        <v>17014885</v>
      </c>
      <c r="H13" s="642">
        <f t="shared" si="2"/>
        <v>17936501</v>
      </c>
      <c r="I13" s="642">
        <f>SUM(I8:I12)</f>
        <v>18803395</v>
      </c>
      <c r="J13" s="642">
        <f>SUM(J8:J12)</f>
        <v>19693645</v>
      </c>
      <c r="K13" s="642">
        <f>SUM(K8:K12)</f>
        <v>20205956</v>
      </c>
      <c r="L13" s="642">
        <f>SUM(L8:L12)</f>
        <v>20977815.670000002</v>
      </c>
      <c r="M13" s="615"/>
      <c r="N13" s="602"/>
      <c r="O13" s="615"/>
      <c r="S13" s="2">
        <f>+S11-S12</f>
        <v>1290566.6700000018</v>
      </c>
    </row>
    <row r="14" spans="1:19" x14ac:dyDescent="0.25">
      <c r="A14" s="596"/>
      <c r="B14" s="597"/>
      <c r="C14" s="639"/>
      <c r="D14" s="597"/>
      <c r="E14" s="639"/>
      <c r="F14" s="639"/>
      <c r="G14" s="639"/>
      <c r="H14" s="639"/>
      <c r="I14" s="639"/>
      <c r="J14" s="639"/>
      <c r="K14" s="639"/>
      <c r="L14" s="639"/>
      <c r="M14" s="615"/>
      <c r="N14" s="615"/>
      <c r="O14" s="615"/>
      <c r="S14">
        <f>ROUND((+S13/S12),4)</f>
        <v>5.5399999999999998E-2</v>
      </c>
    </row>
    <row r="15" spans="1:19" x14ac:dyDescent="0.25">
      <c r="A15" s="596" t="s">
        <v>470</v>
      </c>
      <c r="B15" s="602">
        <v>-123306</v>
      </c>
      <c r="C15" s="373">
        <v>-357654</v>
      </c>
      <c r="D15" s="602">
        <v>-400065</v>
      </c>
      <c r="E15" s="373">
        <v>-406881</v>
      </c>
      <c r="F15" s="373">
        <v>-450000</v>
      </c>
      <c r="G15" s="373">
        <v>-487971.03</v>
      </c>
      <c r="H15" s="373">
        <v>-424470</v>
      </c>
      <c r="I15" s="373">
        <v>-133913</v>
      </c>
      <c r="J15" s="373">
        <v>-150000</v>
      </c>
      <c r="K15" s="373">
        <v>-69425</v>
      </c>
      <c r="L15" s="373">
        <v>-100000</v>
      </c>
      <c r="M15" s="615"/>
      <c r="N15" s="615"/>
      <c r="O15" s="615"/>
    </row>
    <row r="16" spans="1:19" x14ac:dyDescent="0.25">
      <c r="A16" s="596" t="s">
        <v>417</v>
      </c>
      <c r="B16" s="641">
        <f t="shared" ref="B16:I16" si="3">SUM(B13:B15)</f>
        <v>13501567</v>
      </c>
      <c r="C16" s="642">
        <f t="shared" si="3"/>
        <v>14007061</v>
      </c>
      <c r="D16" s="641">
        <f t="shared" si="3"/>
        <v>14424463</v>
      </c>
      <c r="E16" s="642">
        <f t="shared" si="3"/>
        <v>14913142</v>
      </c>
      <c r="F16" s="642">
        <f t="shared" si="3"/>
        <v>15498658</v>
      </c>
      <c r="G16" s="642">
        <f>SUM(G13:G15)</f>
        <v>16526913.970000001</v>
      </c>
      <c r="H16" s="642">
        <f t="shared" si="3"/>
        <v>17512031</v>
      </c>
      <c r="I16" s="642">
        <f t="shared" si="3"/>
        <v>18669482</v>
      </c>
      <c r="J16" s="642">
        <f>SUM(J13:J15)</f>
        <v>19543645</v>
      </c>
      <c r="K16" s="642">
        <f>SUM(K13:K15)</f>
        <v>20136531</v>
      </c>
      <c r="L16" s="642">
        <f>SUM(L13:L15)</f>
        <v>20877815.670000002</v>
      </c>
      <c r="M16" s="836">
        <f>+L16-K16</f>
        <v>741284.67000000179</v>
      </c>
      <c r="N16" s="837">
        <f>ROUND((+M16/K16),4)</f>
        <v>3.6799999999999999E-2</v>
      </c>
      <c r="O16" s="615"/>
    </row>
    <row r="17" spans="1:19" x14ac:dyDescent="0.25">
      <c r="A17" s="596"/>
      <c r="B17" s="597"/>
      <c r="C17" s="639"/>
      <c r="D17" s="597"/>
      <c r="E17" s="639"/>
      <c r="F17" s="639"/>
      <c r="G17" s="639"/>
      <c r="H17" s="639"/>
      <c r="I17" s="639"/>
      <c r="J17" s="639"/>
      <c r="K17" s="639"/>
      <c r="L17" s="639"/>
      <c r="M17" s="615"/>
      <c r="N17" s="615"/>
      <c r="O17" s="615"/>
    </row>
    <row r="18" spans="1:19" ht="15.6" x14ac:dyDescent="0.3">
      <c r="A18" s="638" t="s">
        <v>412</v>
      </c>
      <c r="B18" s="599" t="s">
        <v>534</v>
      </c>
      <c r="C18" s="598" t="s">
        <v>534</v>
      </c>
      <c r="D18" s="599" t="s">
        <v>127</v>
      </c>
      <c r="E18" s="598" t="s">
        <v>534</v>
      </c>
      <c r="F18" s="598" t="s">
        <v>176</v>
      </c>
      <c r="G18" s="598" t="s">
        <v>176</v>
      </c>
      <c r="H18" s="598" t="s">
        <v>176</v>
      </c>
      <c r="I18" s="598"/>
      <c r="J18" s="598" t="s">
        <v>176</v>
      </c>
      <c r="K18" s="598"/>
      <c r="L18" s="598" t="s">
        <v>1488</v>
      </c>
      <c r="M18" s="615"/>
      <c r="N18" s="644" t="s">
        <v>1194</v>
      </c>
      <c r="O18" s="615"/>
      <c r="P18" s="814"/>
    </row>
    <row r="19" spans="1:19" x14ac:dyDescent="0.25">
      <c r="A19" s="596" t="s">
        <v>729</v>
      </c>
      <c r="B19" s="597">
        <v>1212188</v>
      </c>
      <c r="C19" s="639">
        <v>1240842</v>
      </c>
      <c r="D19" s="639">
        <v>1275253</v>
      </c>
      <c r="E19" s="639">
        <v>1321162</v>
      </c>
      <c r="F19" s="639">
        <v>1377972</v>
      </c>
      <c r="G19" s="639">
        <v>1431713</v>
      </c>
      <c r="H19" s="645">
        <v>1481823</v>
      </c>
      <c r="I19" s="645">
        <v>1521832</v>
      </c>
      <c r="J19" s="645">
        <v>1521832</v>
      </c>
      <c r="K19" s="1019">
        <v>1575906</v>
      </c>
      <c r="L19" s="698">
        <v>1617624</v>
      </c>
      <c r="M19" s="643"/>
      <c r="N19" s="698"/>
      <c r="O19" s="615"/>
      <c r="P19" s="814"/>
    </row>
    <row r="20" spans="1:19" x14ac:dyDescent="0.25">
      <c r="A20" s="596" t="s">
        <v>410</v>
      </c>
      <c r="B20" s="597">
        <v>86490</v>
      </c>
      <c r="C20" s="639">
        <v>91061</v>
      </c>
      <c r="D20" s="602">
        <v>146453</v>
      </c>
      <c r="E20" s="373">
        <v>117247</v>
      </c>
      <c r="F20" s="639">
        <v>118213</v>
      </c>
      <c r="G20" s="639">
        <v>97743</v>
      </c>
      <c r="H20" s="645">
        <v>60443</v>
      </c>
      <c r="I20" s="645">
        <v>104740</v>
      </c>
      <c r="J20" s="645">
        <v>57632</v>
      </c>
      <c r="K20" s="1019">
        <v>51118</v>
      </c>
      <c r="L20" s="698">
        <v>66176</v>
      </c>
      <c r="M20" s="373"/>
      <c r="N20" s="698"/>
      <c r="O20" s="615"/>
      <c r="P20" s="814"/>
    </row>
    <row r="21" spans="1:19" x14ac:dyDescent="0.25">
      <c r="A21" s="596" t="s">
        <v>595</v>
      </c>
      <c r="B21" s="597">
        <v>38679</v>
      </c>
      <c r="C21" s="639">
        <v>38857</v>
      </c>
      <c r="D21" s="602">
        <v>37727</v>
      </c>
      <c r="E21" s="373">
        <v>37727</v>
      </c>
      <c r="F21" s="639">
        <v>38973</v>
      </c>
      <c r="G21" s="639">
        <v>37382</v>
      </c>
      <c r="H21" s="645">
        <v>38594</v>
      </c>
      <c r="I21" s="645">
        <v>35811</v>
      </c>
      <c r="J21" s="645">
        <v>48208</v>
      </c>
      <c r="K21" s="1019">
        <v>36914</v>
      </c>
      <c r="L21" s="698">
        <v>37105</v>
      </c>
      <c r="M21" s="373"/>
      <c r="N21" s="698"/>
      <c r="O21" s="615"/>
      <c r="P21" s="814"/>
    </row>
    <row r="22" spans="1:19" x14ac:dyDescent="0.25">
      <c r="A22" s="596" t="s">
        <v>411</v>
      </c>
      <c r="B22" s="597">
        <v>120375</v>
      </c>
      <c r="C22" s="639">
        <v>122756</v>
      </c>
      <c r="D22" s="602">
        <v>142331</v>
      </c>
      <c r="E22" s="373">
        <v>142331</v>
      </c>
      <c r="F22" s="639">
        <v>147574</v>
      </c>
      <c r="G22" s="639">
        <v>147574</v>
      </c>
      <c r="H22" s="645">
        <v>192222</v>
      </c>
      <c r="I22" s="645">
        <v>221320</v>
      </c>
      <c r="J22" s="645">
        <v>229400</v>
      </c>
      <c r="K22" s="1019">
        <v>252976</v>
      </c>
      <c r="L22" s="698">
        <v>252836</v>
      </c>
      <c r="M22" s="373"/>
      <c r="N22" s="698"/>
      <c r="O22" s="602"/>
      <c r="P22" s="814"/>
    </row>
    <row r="23" spans="1:19" x14ac:dyDescent="0.25">
      <c r="A23" s="596" t="s">
        <v>440</v>
      </c>
      <c r="B23" s="597">
        <v>11227</v>
      </c>
      <c r="C23" s="639">
        <v>11276</v>
      </c>
      <c r="D23" s="639">
        <v>13751</v>
      </c>
      <c r="E23" s="639">
        <v>12843</v>
      </c>
      <c r="F23" s="639">
        <v>12893</v>
      </c>
      <c r="G23" s="639">
        <v>13611</v>
      </c>
      <c r="H23" s="645">
        <v>14094</v>
      </c>
      <c r="I23" s="645">
        <v>14470</v>
      </c>
      <c r="J23" s="645">
        <v>14141</v>
      </c>
      <c r="K23" s="1019">
        <v>18651</v>
      </c>
      <c r="L23" s="645">
        <f t="shared" ref="L23:L24" si="4">+K23</f>
        <v>18651</v>
      </c>
      <c r="M23" s="373"/>
      <c r="N23" s="698"/>
      <c r="O23" s="615"/>
      <c r="P23" s="814"/>
    </row>
    <row r="24" spans="1:19" x14ac:dyDescent="0.25">
      <c r="A24" s="596" t="s">
        <v>413</v>
      </c>
      <c r="B24" s="601">
        <f t="shared" ref="B24:G24" si="5">-B23</f>
        <v>-11227</v>
      </c>
      <c r="C24" s="646">
        <f t="shared" si="5"/>
        <v>-11276</v>
      </c>
      <c r="D24" s="646">
        <f t="shared" si="5"/>
        <v>-13751</v>
      </c>
      <c r="E24" s="646">
        <f t="shared" si="5"/>
        <v>-12843</v>
      </c>
      <c r="F24" s="646">
        <f t="shared" si="5"/>
        <v>-12893</v>
      </c>
      <c r="G24" s="646">
        <f t="shared" si="5"/>
        <v>-13611</v>
      </c>
      <c r="H24" s="645">
        <v>-14094</v>
      </c>
      <c r="I24" s="645">
        <f>-I23</f>
        <v>-14470</v>
      </c>
      <c r="J24" s="645">
        <f>-J23</f>
        <v>-14141</v>
      </c>
      <c r="K24" s="1019">
        <f>-K23</f>
        <v>-18651</v>
      </c>
      <c r="L24" s="645">
        <f t="shared" si="4"/>
        <v>-18651</v>
      </c>
      <c r="M24" s="602"/>
      <c r="N24" s="835">
        <f>-N23</f>
        <v>0</v>
      </c>
      <c r="O24" s="698"/>
      <c r="P24" s="814"/>
    </row>
    <row r="25" spans="1:19" x14ac:dyDescent="0.25">
      <c r="A25" s="596" t="s">
        <v>415</v>
      </c>
      <c r="B25" s="641">
        <f t="shared" ref="B25:F25" si="6">SUM(B19:B24)</f>
        <v>1457732</v>
      </c>
      <c r="C25" s="642">
        <f t="shared" si="6"/>
        <v>1493516</v>
      </c>
      <c r="D25" s="641">
        <f t="shared" si="6"/>
        <v>1601764</v>
      </c>
      <c r="E25" s="642">
        <f t="shared" si="6"/>
        <v>1618467</v>
      </c>
      <c r="F25" s="641">
        <f t="shared" si="6"/>
        <v>1682732</v>
      </c>
      <c r="G25" s="641">
        <f t="shared" ref="G25:L25" si="7">SUM(G19:G24)</f>
        <v>1714412</v>
      </c>
      <c r="H25" s="641">
        <f t="shared" si="7"/>
        <v>1773082</v>
      </c>
      <c r="I25" s="641">
        <f t="shared" si="7"/>
        <v>1883703</v>
      </c>
      <c r="J25" s="641">
        <f t="shared" si="7"/>
        <v>1857072</v>
      </c>
      <c r="K25" s="1020">
        <f t="shared" si="7"/>
        <v>1916914</v>
      </c>
      <c r="L25" s="641">
        <f t="shared" si="7"/>
        <v>1973741</v>
      </c>
      <c r="M25" s="602"/>
      <c r="N25" s="602">
        <f>SUM(N19:N24)</f>
        <v>0</v>
      </c>
      <c r="O25" s="602"/>
      <c r="P25" s="814"/>
    </row>
    <row r="26" spans="1:19" x14ac:dyDescent="0.25">
      <c r="A26" s="596"/>
      <c r="B26" s="597"/>
      <c r="C26" s="639"/>
      <c r="D26" s="597"/>
      <c r="E26" s="639"/>
      <c r="F26" s="597"/>
      <c r="G26" s="597"/>
      <c r="H26" s="596"/>
      <c r="I26" s="596"/>
      <c r="J26" s="596"/>
      <c r="K26" s="769"/>
      <c r="L26" s="596"/>
      <c r="M26" s="615"/>
      <c r="N26" s="615"/>
      <c r="O26" s="615"/>
      <c r="P26" s="814"/>
    </row>
    <row r="27" spans="1:19" x14ac:dyDescent="0.25">
      <c r="A27" s="596" t="s">
        <v>780</v>
      </c>
      <c r="B27" s="597">
        <v>-85115</v>
      </c>
      <c r="C27" s="639">
        <v>-75855</v>
      </c>
      <c r="D27" s="597">
        <v>-74473</v>
      </c>
      <c r="E27" s="639">
        <v>-75976</v>
      </c>
      <c r="F27" s="646">
        <v>-98020</v>
      </c>
      <c r="G27" s="646">
        <v>-100906</v>
      </c>
      <c r="H27" s="373">
        <v>-97873</v>
      </c>
      <c r="I27" s="373">
        <v>-91871</v>
      </c>
      <c r="J27" s="373">
        <v>-94593</v>
      </c>
      <c r="K27" s="787">
        <v>-91919</v>
      </c>
      <c r="L27" s="373">
        <v>-93915</v>
      </c>
      <c r="M27" s="615"/>
      <c r="N27" s="646"/>
      <c r="O27" s="373"/>
      <c r="P27" s="814"/>
    </row>
    <row r="28" spans="1:19" x14ac:dyDescent="0.25">
      <c r="A28" s="596" t="s">
        <v>416</v>
      </c>
      <c r="B28" s="641">
        <f t="shared" ref="B28:F28" si="8">+B25+B27</f>
        <v>1372617</v>
      </c>
      <c r="C28" s="642">
        <f t="shared" si="8"/>
        <v>1417661</v>
      </c>
      <c r="D28" s="641">
        <f t="shared" si="8"/>
        <v>1527291</v>
      </c>
      <c r="E28" s="642">
        <f t="shared" si="8"/>
        <v>1542491</v>
      </c>
      <c r="F28" s="641">
        <f t="shared" si="8"/>
        <v>1584712</v>
      </c>
      <c r="G28" s="641">
        <f t="shared" ref="G28:K28" si="9">+G25+G27</f>
        <v>1613506</v>
      </c>
      <c r="H28" s="641">
        <f t="shared" si="9"/>
        <v>1675209</v>
      </c>
      <c r="I28" s="641">
        <f t="shared" si="9"/>
        <v>1791832</v>
      </c>
      <c r="J28" s="641">
        <f t="shared" si="9"/>
        <v>1762479</v>
      </c>
      <c r="K28" s="641">
        <f t="shared" si="9"/>
        <v>1824995</v>
      </c>
      <c r="L28" s="641">
        <f>+L25+L27</f>
        <v>1879826</v>
      </c>
      <c r="M28" s="836">
        <f>+L28-K28</f>
        <v>54831</v>
      </c>
      <c r="N28" s="602">
        <f>SUM(N25:N27)</f>
        <v>0</v>
      </c>
      <c r="O28" s="602"/>
      <c r="P28" s="814"/>
    </row>
    <row r="29" spans="1:19" x14ac:dyDescent="0.25">
      <c r="A29" s="596"/>
      <c r="B29" s="602"/>
      <c r="C29" s="373"/>
      <c r="D29" s="602"/>
      <c r="E29" s="373"/>
      <c r="F29" s="602"/>
      <c r="G29" s="602"/>
      <c r="H29" s="602"/>
      <c r="I29" s="602"/>
      <c r="J29" s="602"/>
      <c r="K29" s="602"/>
      <c r="L29" s="602"/>
      <c r="M29" s="1146">
        <f>+M28/K28</f>
        <v>3.0044465875248973E-2</v>
      </c>
      <c r="N29" s="602"/>
      <c r="O29" s="615"/>
      <c r="P29" s="814"/>
    </row>
    <row r="30" spans="1:19" x14ac:dyDescent="0.25">
      <c r="A30" s="597"/>
      <c r="B30" s="597"/>
      <c r="C30" s="597"/>
      <c r="D30" s="597"/>
      <c r="E30" s="639"/>
      <c r="F30" s="597"/>
      <c r="G30" s="597"/>
      <c r="H30" s="597"/>
      <c r="I30" s="597"/>
      <c r="J30" s="597"/>
      <c r="K30" s="597"/>
      <c r="L30" s="597"/>
      <c r="M30" s="596"/>
      <c r="N30" s="596"/>
      <c r="O30" s="596"/>
    </row>
    <row r="31" spans="1:19" x14ac:dyDescent="0.25">
      <c r="A31" s="596"/>
      <c r="B31" s="599" t="s">
        <v>347</v>
      </c>
      <c r="C31" s="599" t="s">
        <v>722</v>
      </c>
      <c r="D31" s="599" t="s">
        <v>737</v>
      </c>
      <c r="E31" s="599" t="s">
        <v>800</v>
      </c>
      <c r="F31" s="597" t="s">
        <v>890</v>
      </c>
      <c r="G31" s="599" t="s">
        <v>1018</v>
      </c>
      <c r="H31" s="599" t="s">
        <v>1072</v>
      </c>
      <c r="I31" s="599" t="s">
        <v>1223</v>
      </c>
      <c r="J31" s="599" t="s">
        <v>1325</v>
      </c>
      <c r="K31" s="599" t="s">
        <v>1435</v>
      </c>
      <c r="L31" s="599" t="s">
        <v>1613</v>
      </c>
      <c r="M31" s="600">
        <f>+L28/(+L78-L76-L71)</f>
        <v>7.6518594039803281E-2</v>
      </c>
      <c r="N31" s="596" t="s">
        <v>1295</v>
      </c>
      <c r="O31" s="596"/>
      <c r="P31" s="814"/>
      <c r="Q31" s="602"/>
      <c r="R31" s="602"/>
      <c r="S31" s="699"/>
    </row>
    <row r="32" spans="1:19" ht="15.6" x14ac:dyDescent="0.3">
      <c r="A32" s="638" t="s">
        <v>418</v>
      </c>
      <c r="B32" s="599" t="s">
        <v>41</v>
      </c>
      <c r="C32" s="599" t="s">
        <v>41</v>
      </c>
      <c r="D32" s="599" t="s">
        <v>41</v>
      </c>
      <c r="E32" s="598" t="s">
        <v>41</v>
      </c>
      <c r="F32" s="598" t="s">
        <v>41</v>
      </c>
      <c r="G32" s="599" t="s">
        <v>41</v>
      </c>
      <c r="H32" s="599" t="s">
        <v>41</v>
      </c>
      <c r="I32" s="599" t="s">
        <v>41</v>
      </c>
      <c r="J32" s="599" t="s">
        <v>41</v>
      </c>
      <c r="K32" s="599" t="s">
        <v>529</v>
      </c>
      <c r="L32" s="599" t="s">
        <v>529</v>
      </c>
      <c r="M32" s="596"/>
      <c r="N32" s="596"/>
      <c r="O32" s="596"/>
      <c r="P32" s="815"/>
      <c r="Q32" s="699"/>
      <c r="R32" s="699"/>
      <c r="S32" s="699"/>
    </row>
    <row r="33" spans="1:19" x14ac:dyDescent="0.25">
      <c r="A33" s="596" t="s">
        <v>419</v>
      </c>
      <c r="B33" s="639">
        <v>658373</v>
      </c>
      <c r="C33" s="639">
        <v>702847</v>
      </c>
      <c r="D33" s="639">
        <v>713101</v>
      </c>
      <c r="E33" s="639">
        <v>655337</v>
      </c>
      <c r="F33" s="639">
        <v>731218</v>
      </c>
      <c r="G33" s="639">
        <v>829212</v>
      </c>
      <c r="H33" s="639">
        <v>821525</v>
      </c>
      <c r="I33" s="639">
        <v>753028</v>
      </c>
      <c r="J33" s="639">
        <v>785960</v>
      </c>
      <c r="K33" s="639">
        <v>652500</v>
      </c>
      <c r="L33" s="639">
        <v>750000</v>
      </c>
      <c r="M33" s="596"/>
      <c r="N33" s="600"/>
      <c r="O33" s="596"/>
      <c r="P33" s="814"/>
      <c r="Q33" s="373"/>
      <c r="R33" s="373"/>
      <c r="S33" s="373"/>
    </row>
    <row r="34" spans="1:19" x14ac:dyDescent="0.25">
      <c r="A34" s="596" t="s">
        <v>420</v>
      </c>
      <c r="B34" s="639">
        <v>1511</v>
      </c>
      <c r="C34" s="639">
        <v>1598</v>
      </c>
      <c r="D34" s="639">
        <v>1718</v>
      </c>
      <c r="E34" s="639">
        <v>1000</v>
      </c>
      <c r="F34" s="639">
        <v>1951</v>
      </c>
      <c r="G34" s="639">
        <v>1376</v>
      </c>
      <c r="H34" s="639">
        <v>1816</v>
      </c>
      <c r="I34" s="639">
        <v>1463</v>
      </c>
      <c r="J34" s="639">
        <v>1362</v>
      </c>
      <c r="K34" s="639">
        <v>1000</v>
      </c>
      <c r="L34" s="639">
        <v>1000</v>
      </c>
      <c r="M34" s="596"/>
      <c r="N34" s="600"/>
      <c r="O34" s="596"/>
      <c r="P34" s="814"/>
      <c r="Q34" s="373"/>
      <c r="R34" s="373"/>
      <c r="S34" s="373"/>
    </row>
    <row r="35" spans="1:19" x14ac:dyDescent="0.25">
      <c r="A35" s="596" t="s">
        <v>1256</v>
      </c>
      <c r="B35" s="639"/>
      <c r="C35" s="639"/>
      <c r="D35" s="639"/>
      <c r="E35" s="639"/>
      <c r="F35" s="639"/>
      <c r="G35" s="639"/>
      <c r="H35" s="639">
        <v>53850</v>
      </c>
      <c r="I35" s="639">
        <v>61187</v>
      </c>
      <c r="J35" s="639">
        <v>48185</v>
      </c>
      <c r="K35" s="639">
        <v>40000</v>
      </c>
      <c r="L35" s="639">
        <v>50000</v>
      </c>
      <c r="M35" s="596"/>
      <c r="N35" s="600"/>
      <c r="O35" s="596"/>
      <c r="P35" s="814"/>
      <c r="Q35" s="373"/>
      <c r="R35" s="373"/>
      <c r="S35" s="373"/>
    </row>
    <row r="36" spans="1:19" x14ac:dyDescent="0.25">
      <c r="A36" s="596" t="s">
        <v>431</v>
      </c>
      <c r="B36" s="639">
        <v>126219</v>
      </c>
      <c r="C36" s="639">
        <v>109239</v>
      </c>
      <c r="D36" s="639">
        <v>114129</v>
      </c>
      <c r="E36" s="639">
        <v>96000</v>
      </c>
      <c r="F36" s="639">
        <v>123780</v>
      </c>
      <c r="G36" s="639">
        <v>177628</v>
      </c>
      <c r="H36" s="639">
        <v>154148</v>
      </c>
      <c r="I36" s="639">
        <v>132315</v>
      </c>
      <c r="J36" s="639">
        <v>155020</v>
      </c>
      <c r="K36" s="639">
        <v>110000</v>
      </c>
      <c r="L36" s="639">
        <v>128000</v>
      </c>
      <c r="M36" s="596"/>
      <c r="N36" s="600"/>
      <c r="O36" s="596"/>
      <c r="P36" s="814"/>
      <c r="Q36" s="373"/>
      <c r="R36" s="373"/>
      <c r="S36" s="373"/>
    </row>
    <row r="37" spans="1:19" x14ac:dyDescent="0.25">
      <c r="A37" s="596" t="s">
        <v>421</v>
      </c>
      <c r="B37" s="639">
        <v>6840</v>
      </c>
      <c r="C37" s="639">
        <v>6192</v>
      </c>
      <c r="D37" s="639">
        <v>7392</v>
      </c>
      <c r="E37" s="639">
        <v>6500</v>
      </c>
      <c r="F37" s="639">
        <v>6576</v>
      </c>
      <c r="G37" s="639">
        <v>5388</v>
      </c>
      <c r="H37" s="639">
        <v>15040</v>
      </c>
      <c r="I37" s="639">
        <v>14976</v>
      </c>
      <c r="J37" s="639">
        <v>10999</v>
      </c>
      <c r="K37" s="639">
        <v>14000</v>
      </c>
      <c r="L37" s="639">
        <v>14000</v>
      </c>
      <c r="M37" s="596"/>
      <c r="N37" s="600"/>
      <c r="O37" s="596"/>
      <c r="P37" s="814"/>
      <c r="Q37" s="373"/>
      <c r="R37" s="373"/>
      <c r="S37" s="373"/>
    </row>
    <row r="38" spans="1:19" x14ac:dyDescent="0.25">
      <c r="A38" s="596" t="s">
        <v>422</v>
      </c>
      <c r="B38" s="639">
        <v>228738</v>
      </c>
      <c r="C38" s="639">
        <v>233722</v>
      </c>
      <c r="D38" s="639">
        <v>234878</v>
      </c>
      <c r="E38" s="639">
        <v>224500</v>
      </c>
      <c r="F38" s="639">
        <v>237475</v>
      </c>
      <c r="G38" s="639">
        <v>249708</v>
      </c>
      <c r="H38" s="639">
        <v>248504</v>
      </c>
      <c r="I38" s="639">
        <v>276907</v>
      </c>
      <c r="J38" s="639">
        <v>314699</v>
      </c>
      <c r="K38" s="639">
        <v>238000</v>
      </c>
      <c r="L38" s="639">
        <v>263000</v>
      </c>
      <c r="M38" s="596"/>
      <c r="N38" s="600"/>
      <c r="O38" s="596"/>
      <c r="P38" s="814"/>
      <c r="Q38" s="373"/>
      <c r="R38" s="373"/>
      <c r="S38" s="373"/>
    </row>
    <row r="39" spans="1:19" x14ac:dyDescent="0.25">
      <c r="A39" s="596" t="s">
        <v>1823</v>
      </c>
      <c r="B39" s="639"/>
      <c r="C39" s="639"/>
      <c r="D39" s="639"/>
      <c r="E39" s="639"/>
      <c r="F39" s="639"/>
      <c r="G39" s="639">
        <v>45050</v>
      </c>
      <c r="H39" s="639">
        <v>77961</v>
      </c>
      <c r="I39" s="639">
        <v>79364</v>
      </c>
      <c r="J39" s="639">
        <v>80793</v>
      </c>
      <c r="K39" s="639">
        <f>+K95</f>
        <v>82247</v>
      </c>
      <c r="L39" s="639">
        <f>+L95+1000</f>
        <v>84728</v>
      </c>
      <c r="M39" s="596"/>
      <c r="N39" s="600"/>
      <c r="O39" s="596"/>
      <c r="P39" s="814"/>
      <c r="Q39" s="373"/>
      <c r="R39" s="373"/>
      <c r="S39" s="373"/>
    </row>
    <row r="40" spans="1:19" x14ac:dyDescent="0.25">
      <c r="A40" s="596" t="s">
        <v>441</v>
      </c>
      <c r="B40" s="639">
        <v>66434</v>
      </c>
      <c r="C40" s="639">
        <v>78727</v>
      </c>
      <c r="D40" s="639">
        <v>71981</v>
      </c>
      <c r="E40" s="639">
        <v>53935</v>
      </c>
      <c r="F40" s="639">
        <v>72815</v>
      </c>
      <c r="G40" s="639">
        <v>78459</v>
      </c>
      <c r="H40" s="639">
        <v>85879</v>
      </c>
      <c r="I40" s="639">
        <v>60633</v>
      </c>
      <c r="J40" s="639">
        <v>90549</v>
      </c>
      <c r="K40" s="639">
        <v>54760</v>
      </c>
      <c r="L40" s="639">
        <v>57000</v>
      </c>
      <c r="M40" s="596"/>
      <c r="N40" s="600"/>
      <c r="O40" s="596"/>
      <c r="P40" s="814"/>
      <c r="Q40" s="373"/>
      <c r="R40" s="373"/>
      <c r="S40" s="373"/>
    </row>
    <row r="41" spans="1:19" x14ac:dyDescent="0.25">
      <c r="A41" s="596" t="s">
        <v>424</v>
      </c>
      <c r="B41" s="639">
        <v>121240</v>
      </c>
      <c r="C41" s="639">
        <v>109802</v>
      </c>
      <c r="D41" s="639">
        <v>157799</v>
      </c>
      <c r="E41" s="639">
        <v>121450</v>
      </c>
      <c r="F41" s="639">
        <v>193653</v>
      </c>
      <c r="G41" s="639">
        <v>217448</v>
      </c>
      <c r="H41" s="639">
        <v>184765</v>
      </c>
      <c r="I41" s="639">
        <v>149840</v>
      </c>
      <c r="J41" s="639">
        <v>186129</v>
      </c>
      <c r="K41" s="639">
        <v>125000</v>
      </c>
      <c r="L41" s="639">
        <v>158000</v>
      </c>
      <c r="M41" s="596"/>
      <c r="N41" s="600"/>
      <c r="O41" s="596"/>
      <c r="P41" s="814"/>
      <c r="Q41" s="373"/>
      <c r="R41" s="373"/>
      <c r="S41" s="373"/>
    </row>
    <row r="42" spans="1:19" x14ac:dyDescent="0.25">
      <c r="A42" s="596" t="s">
        <v>425</v>
      </c>
      <c r="B42" s="639">
        <v>32615</v>
      </c>
      <c r="C42" s="639">
        <v>54938</v>
      </c>
      <c r="D42" s="639">
        <v>33091</v>
      </c>
      <c r="E42" s="639">
        <v>20850</v>
      </c>
      <c r="F42" s="639">
        <v>23770</v>
      </c>
      <c r="G42" s="639">
        <v>19235</v>
      </c>
      <c r="H42" s="639">
        <v>25548</v>
      </c>
      <c r="I42" s="639">
        <v>22789</v>
      </c>
      <c r="J42" s="639">
        <v>21761</v>
      </c>
      <c r="K42" s="639">
        <v>16000</v>
      </c>
      <c r="L42" s="639">
        <v>16000</v>
      </c>
      <c r="M42" s="596"/>
      <c r="N42" s="600"/>
      <c r="O42" s="596"/>
      <c r="P42" s="814"/>
      <c r="Q42" s="373"/>
      <c r="R42" s="373"/>
      <c r="S42" s="373"/>
    </row>
    <row r="43" spans="1:19" x14ac:dyDescent="0.25">
      <c r="A43" s="596" t="s">
        <v>426</v>
      </c>
      <c r="B43" s="639">
        <v>5231</v>
      </c>
      <c r="C43" s="639">
        <v>3493</v>
      </c>
      <c r="D43" s="639">
        <v>4386</v>
      </c>
      <c r="E43" s="639">
        <v>3400</v>
      </c>
      <c r="F43" s="639">
        <v>8580</v>
      </c>
      <c r="G43" s="639">
        <v>13002</v>
      </c>
      <c r="H43" s="639">
        <v>28236</v>
      </c>
      <c r="I43" s="639">
        <v>24901</v>
      </c>
      <c r="J43" s="639">
        <v>2973</v>
      </c>
      <c r="K43" s="639">
        <v>2000</v>
      </c>
      <c r="L43" s="639">
        <v>1000</v>
      </c>
      <c r="M43" s="596"/>
      <c r="N43" s="600"/>
      <c r="O43" s="596"/>
      <c r="P43" s="814"/>
      <c r="Q43" s="373"/>
      <c r="R43" s="373"/>
      <c r="S43" s="373"/>
    </row>
    <row r="44" spans="1:19" hidden="1" x14ac:dyDescent="0.25">
      <c r="A44" s="596" t="s">
        <v>178</v>
      </c>
      <c r="B44" s="639">
        <v>43790</v>
      </c>
      <c r="C44" s="639">
        <v>40792</v>
      </c>
      <c r="D44" s="639">
        <v>31886</v>
      </c>
      <c r="E44" s="639"/>
      <c r="F44" s="639"/>
      <c r="G44" s="639"/>
      <c r="H44" s="639"/>
      <c r="I44" s="639"/>
      <c r="J44" s="639"/>
      <c r="K44" s="639"/>
      <c r="L44" s="639"/>
      <c r="M44" s="596"/>
      <c r="N44" s="600"/>
      <c r="O44" s="596"/>
      <c r="P44" s="814"/>
      <c r="Q44" s="373"/>
      <c r="R44" s="373"/>
      <c r="S44" s="373"/>
    </row>
    <row r="45" spans="1:19" x14ac:dyDescent="0.25">
      <c r="A45" s="596" t="s">
        <v>852</v>
      </c>
      <c r="B45" s="639"/>
      <c r="C45" s="639"/>
      <c r="D45" s="639"/>
      <c r="E45" s="639"/>
      <c r="F45" s="639"/>
      <c r="G45" s="639"/>
      <c r="H45" s="639"/>
      <c r="I45" s="639"/>
      <c r="J45" s="639"/>
      <c r="K45" s="639"/>
      <c r="L45" s="639"/>
      <c r="M45" s="596"/>
      <c r="N45" s="600"/>
      <c r="O45" s="596"/>
      <c r="P45" s="814"/>
      <c r="Q45" s="373"/>
      <c r="R45" s="373"/>
      <c r="S45" s="373"/>
    </row>
    <row r="46" spans="1:19" x14ac:dyDescent="0.25">
      <c r="A46" s="596" t="s">
        <v>429</v>
      </c>
      <c r="B46" s="639">
        <f>100676</f>
        <v>100676</v>
      </c>
      <c r="C46" s="639">
        <v>83047</v>
      </c>
      <c r="D46" s="639">
        <f>128245-D44</f>
        <v>96359</v>
      </c>
      <c r="E46" s="639">
        <f>145900</f>
        <v>145900</v>
      </c>
      <c r="F46" s="639">
        <f>151503</f>
        <v>151503</v>
      </c>
      <c r="G46" s="639">
        <f>143197-G51</f>
        <v>96325</v>
      </c>
      <c r="H46" s="639">
        <f>202200-H51-H52</f>
        <v>88144.62</v>
      </c>
      <c r="I46" s="639">
        <f>228474-I51-I52</f>
        <v>83989</v>
      </c>
      <c r="J46" s="639">
        <v>43844</v>
      </c>
      <c r="K46" s="639">
        <f>197083-K51-K52</f>
        <v>69668</v>
      </c>
      <c r="L46" s="639">
        <f>202820-L51-L52</f>
        <v>60820</v>
      </c>
      <c r="M46" s="596"/>
      <c r="N46" s="600"/>
      <c r="O46" s="596"/>
      <c r="P46" s="814"/>
      <c r="Q46" s="373"/>
      <c r="R46" s="373"/>
      <c r="S46" s="373"/>
    </row>
    <row r="47" spans="1:19" x14ac:dyDescent="0.25">
      <c r="A47" s="596" t="s">
        <v>430</v>
      </c>
      <c r="B47" s="646">
        <v>65897</v>
      </c>
      <c r="C47" s="646"/>
      <c r="D47" s="646"/>
      <c r="E47" s="646"/>
      <c r="F47" s="646"/>
      <c r="G47" s="646">
        <v>4683</v>
      </c>
      <c r="H47" s="646">
        <v>-54184</v>
      </c>
      <c r="I47" s="646">
        <v>6169</v>
      </c>
      <c r="J47" s="646">
        <v>22953</v>
      </c>
      <c r="K47" s="646"/>
      <c r="L47" s="646"/>
      <c r="M47" s="596"/>
      <c r="N47" s="596"/>
      <c r="O47" s="596"/>
      <c r="P47" s="814"/>
      <c r="Q47" s="373"/>
      <c r="R47" s="373"/>
      <c r="S47" s="373"/>
    </row>
    <row r="48" spans="1:19" x14ac:dyDescent="0.25">
      <c r="A48" s="596" t="s">
        <v>1147</v>
      </c>
      <c r="B48" s="641">
        <f t="shared" ref="B48:L48" si="10">SUM(B33:B47)</f>
        <v>1457564</v>
      </c>
      <c r="C48" s="641">
        <f t="shared" si="10"/>
        <v>1424397</v>
      </c>
      <c r="D48" s="641">
        <f t="shared" si="10"/>
        <v>1466720</v>
      </c>
      <c r="E48" s="642">
        <f t="shared" si="10"/>
        <v>1328872</v>
      </c>
      <c r="F48" s="641">
        <f t="shared" si="10"/>
        <v>1551321</v>
      </c>
      <c r="G48" s="641">
        <f t="shared" si="10"/>
        <v>1737514</v>
      </c>
      <c r="H48" s="641">
        <f t="shared" si="10"/>
        <v>1731232.62</v>
      </c>
      <c r="I48" s="641">
        <f t="shared" si="10"/>
        <v>1667561</v>
      </c>
      <c r="J48" s="641">
        <f t="shared" si="10"/>
        <v>1765227</v>
      </c>
      <c r="K48" s="641">
        <f t="shared" ref="K48" si="11">SUM(K33:K47)</f>
        <v>1405175</v>
      </c>
      <c r="L48" s="641">
        <f t="shared" si="10"/>
        <v>1583548</v>
      </c>
      <c r="M48" s="836"/>
      <c r="N48" s="596"/>
      <c r="O48" s="596"/>
      <c r="P48" s="814"/>
      <c r="Q48" s="602"/>
      <c r="R48" s="602"/>
      <c r="S48" s="602"/>
    </row>
    <row r="49" spans="1:19" x14ac:dyDescent="0.25">
      <c r="A49" s="596"/>
      <c r="B49" s="602"/>
      <c r="C49" s="602"/>
      <c r="D49" s="602"/>
      <c r="E49" s="373"/>
      <c r="F49" s="602"/>
      <c r="G49" s="602"/>
      <c r="H49" s="602"/>
      <c r="I49" s="602"/>
      <c r="J49" s="602"/>
      <c r="K49" s="602"/>
      <c r="L49" s="602"/>
      <c r="M49" s="643"/>
      <c r="N49" s="596"/>
      <c r="O49" s="596"/>
      <c r="Q49" s="602"/>
      <c r="R49" s="602"/>
      <c r="S49" s="602"/>
    </row>
    <row r="50" spans="1:19" x14ac:dyDescent="0.25">
      <c r="A50" s="596" t="s">
        <v>1148</v>
      </c>
      <c r="B50" s="602"/>
      <c r="C50" s="602"/>
      <c r="D50" s="602"/>
      <c r="E50" s="373"/>
      <c r="F50" s="602"/>
      <c r="G50" s="602"/>
      <c r="H50" s="602"/>
      <c r="I50" s="602"/>
      <c r="J50" s="602"/>
      <c r="K50" s="602"/>
      <c r="L50" s="602"/>
      <c r="M50" s="643"/>
      <c r="N50" s="596"/>
      <c r="O50" s="596"/>
      <c r="P50" s="814"/>
      <c r="Q50" s="602"/>
      <c r="R50" s="602"/>
      <c r="S50" s="602"/>
    </row>
    <row r="51" spans="1:19" x14ac:dyDescent="0.25">
      <c r="A51" s="596" t="s">
        <v>1149</v>
      </c>
      <c r="B51" s="602"/>
      <c r="C51" s="602"/>
      <c r="D51" s="602"/>
      <c r="E51" s="373"/>
      <c r="F51" s="602"/>
      <c r="G51" s="639">
        <v>46872</v>
      </c>
      <c r="H51" s="602">
        <v>76368</v>
      </c>
      <c r="I51" s="602">
        <v>81673</v>
      </c>
      <c r="J51" s="602">
        <v>73957</v>
      </c>
      <c r="K51" s="602">
        <v>77165</v>
      </c>
      <c r="L51" s="602">
        <v>77000</v>
      </c>
      <c r="M51" s="643"/>
      <c r="N51" s="600">
        <f t="shared" ref="N51:N53" si="12">ROUND((+L51/$L$54),4)</f>
        <v>4.2599999999999999E-2</v>
      </c>
      <c r="O51" s="596"/>
      <c r="P51" s="814"/>
      <c r="Q51" s="373"/>
      <c r="R51" s="602"/>
      <c r="S51" s="373"/>
    </row>
    <row r="52" spans="1:19" x14ac:dyDescent="0.25">
      <c r="A52" s="596" t="s">
        <v>1197</v>
      </c>
      <c r="B52" s="602"/>
      <c r="C52" s="602"/>
      <c r="D52" s="602"/>
      <c r="E52" s="373"/>
      <c r="F52" s="602"/>
      <c r="G52" s="639"/>
      <c r="H52" s="602">
        <v>37687.379999999997</v>
      </c>
      <c r="I52" s="602">
        <v>62812</v>
      </c>
      <c r="J52" s="602">
        <v>50250</v>
      </c>
      <c r="K52" s="602">
        <v>50250</v>
      </c>
      <c r="L52" s="373">
        <v>65000</v>
      </c>
      <c r="M52" s="643"/>
      <c r="N52" s="600">
        <f t="shared" si="12"/>
        <v>3.5900000000000001E-2</v>
      </c>
      <c r="O52" s="596" t="s">
        <v>1852</v>
      </c>
      <c r="P52" s="814"/>
      <c r="Q52" s="373"/>
      <c r="R52" s="602"/>
      <c r="S52" s="373"/>
    </row>
    <row r="53" spans="1:19" x14ac:dyDescent="0.25">
      <c r="A53" s="596" t="s">
        <v>1150</v>
      </c>
      <c r="B53" s="602"/>
      <c r="C53" s="602"/>
      <c r="D53" s="602"/>
      <c r="E53" s="373"/>
      <c r="F53" s="602"/>
      <c r="G53" s="602"/>
      <c r="H53" s="602">
        <v>77961</v>
      </c>
      <c r="I53" s="602">
        <v>79364</v>
      </c>
      <c r="J53" s="602">
        <v>80793</v>
      </c>
      <c r="K53" s="602">
        <f>+K39</f>
        <v>82247</v>
      </c>
      <c r="L53" s="602">
        <f>+L95</f>
        <v>83728</v>
      </c>
      <c r="M53" s="643"/>
      <c r="N53" s="600">
        <f t="shared" si="12"/>
        <v>4.6300000000000001E-2</v>
      </c>
      <c r="O53" s="596"/>
      <c r="P53" s="814"/>
      <c r="Q53" s="602"/>
      <c r="R53" s="602"/>
      <c r="S53" s="373"/>
    </row>
    <row r="54" spans="1:19" ht="15.6" thickBot="1" x14ac:dyDescent="0.3">
      <c r="A54" s="596" t="s">
        <v>1151</v>
      </c>
      <c r="B54" s="602"/>
      <c r="C54" s="602"/>
      <c r="D54" s="602"/>
      <c r="E54" s="373"/>
      <c r="F54" s="602"/>
      <c r="G54" s="603">
        <f t="shared" ref="G54:L54" si="13">SUM(G48:G53)</f>
        <v>1784386</v>
      </c>
      <c r="H54" s="603">
        <f t="shared" si="13"/>
        <v>1923249</v>
      </c>
      <c r="I54" s="603">
        <f t="shared" si="13"/>
        <v>1891410</v>
      </c>
      <c r="J54" s="603">
        <f t="shared" si="13"/>
        <v>1970227</v>
      </c>
      <c r="K54" s="603">
        <f t="shared" si="13"/>
        <v>1614837</v>
      </c>
      <c r="L54" s="603">
        <f t="shared" si="13"/>
        <v>1809276</v>
      </c>
      <c r="M54" s="643"/>
      <c r="N54" s="600">
        <f>SUM(N33:N53)</f>
        <v>0.12479999999999999</v>
      </c>
      <c r="O54" s="596"/>
      <c r="P54" s="814"/>
      <c r="Q54" s="602"/>
      <c r="R54" s="602"/>
      <c r="S54" s="602"/>
    </row>
    <row r="55" spans="1:19" ht="15.6" thickTop="1" x14ac:dyDescent="0.25">
      <c r="A55" s="596"/>
      <c r="B55" s="597"/>
      <c r="C55" s="597"/>
      <c r="D55" s="597"/>
      <c r="E55" s="639"/>
      <c r="F55" s="597"/>
      <c r="G55" s="597"/>
      <c r="H55" s="597"/>
      <c r="I55" s="597"/>
      <c r="J55" s="597"/>
      <c r="K55" s="597"/>
      <c r="L55" s="597"/>
      <c r="M55" s="596">
        <f>+L54-K54</f>
        <v>194439</v>
      </c>
      <c r="N55" s="615"/>
      <c r="O55" s="615"/>
      <c r="P55" s="814"/>
    </row>
    <row r="56" spans="1:19" ht="15.6" x14ac:dyDescent="0.3">
      <c r="A56" s="638" t="s">
        <v>432</v>
      </c>
      <c r="B56" s="597"/>
      <c r="C56" s="597"/>
      <c r="D56" s="597"/>
      <c r="E56" s="639"/>
      <c r="F56" s="597"/>
      <c r="G56" s="597"/>
      <c r="H56" s="597"/>
      <c r="I56" s="597"/>
      <c r="J56" s="597"/>
      <c r="K56" s="597"/>
      <c r="L56" s="597"/>
      <c r="M56" s="1146">
        <f>+M55/K54</f>
        <v>0.12040781825038688</v>
      </c>
      <c r="N56" s="818"/>
      <c r="O56" s="615"/>
      <c r="P56" s="814"/>
    </row>
    <row r="57" spans="1:19" x14ac:dyDescent="0.25">
      <c r="A57" s="596" t="s">
        <v>356</v>
      </c>
      <c r="B57" s="597">
        <v>19000</v>
      </c>
      <c r="C57" s="597"/>
      <c r="D57" s="597"/>
      <c r="E57" s="639"/>
      <c r="F57" s="597"/>
      <c r="G57" s="597"/>
      <c r="H57" s="597"/>
      <c r="I57" s="597"/>
      <c r="J57" s="597"/>
      <c r="K57" s="597"/>
      <c r="L57" s="597"/>
      <c r="M57" s="596"/>
      <c r="N57" s="602"/>
      <c r="O57" s="615"/>
      <c r="P57" s="814"/>
    </row>
    <row r="58" spans="1:19" x14ac:dyDescent="0.25">
      <c r="A58" s="596" t="s">
        <v>1056</v>
      </c>
      <c r="B58" s="597"/>
      <c r="C58" s="597"/>
      <c r="D58" s="597"/>
      <c r="E58" s="639"/>
      <c r="F58" s="597"/>
      <c r="G58" s="597">
        <v>22850</v>
      </c>
      <c r="H58" s="597"/>
      <c r="I58" s="597"/>
      <c r="J58" s="597"/>
      <c r="K58" s="597"/>
      <c r="L58" s="597"/>
      <c r="M58" s="596"/>
      <c r="N58" s="602"/>
      <c r="O58" s="615"/>
      <c r="P58" s="814"/>
    </row>
    <row r="59" spans="1:19" x14ac:dyDescent="0.25">
      <c r="A59" s="596" t="s">
        <v>1470</v>
      </c>
      <c r="B59" s="597"/>
      <c r="C59" s="597"/>
      <c r="D59" s="597"/>
      <c r="E59" s="639"/>
      <c r="F59" s="597"/>
      <c r="G59" s="597"/>
      <c r="H59" s="597"/>
      <c r="I59" s="597"/>
      <c r="J59" s="597"/>
      <c r="K59" s="597">
        <v>250000</v>
      </c>
      <c r="L59" s="597">
        <f>+'Working Budget with funding det'!R246</f>
        <v>225000</v>
      </c>
      <c r="M59" s="596"/>
      <c r="N59" s="602"/>
      <c r="O59" s="615"/>
      <c r="P59" s="814"/>
    </row>
    <row r="60" spans="1:19" x14ac:dyDescent="0.25">
      <c r="A60" s="596" t="s">
        <v>1683</v>
      </c>
      <c r="B60" s="597"/>
      <c r="C60" s="597"/>
      <c r="D60" s="597"/>
      <c r="E60" s="639"/>
      <c r="F60" s="597"/>
      <c r="G60" s="597"/>
      <c r="H60" s="597"/>
      <c r="I60" s="597"/>
      <c r="J60" s="597"/>
      <c r="K60" s="597"/>
      <c r="L60" s="597">
        <f>+'Working Budget with funding det'!N234</f>
        <v>130000</v>
      </c>
      <c r="M60" s="596"/>
      <c r="N60" s="602"/>
      <c r="O60" s="615"/>
      <c r="P60" s="814"/>
    </row>
    <row r="61" spans="1:19" ht="16.8" x14ac:dyDescent="0.4">
      <c r="A61" s="596" t="s">
        <v>664</v>
      </c>
      <c r="B61" s="597"/>
      <c r="C61" s="597"/>
      <c r="D61" s="597"/>
      <c r="E61" s="639"/>
      <c r="F61" s="597"/>
      <c r="G61" s="597"/>
      <c r="H61" s="597"/>
      <c r="I61" s="597"/>
      <c r="J61" s="597"/>
      <c r="K61" s="597">
        <v>56511</v>
      </c>
      <c r="L61" s="597"/>
      <c r="M61" s="596"/>
      <c r="N61" s="820"/>
      <c r="O61" s="615"/>
      <c r="P61" s="814"/>
    </row>
    <row r="62" spans="1:19" x14ac:dyDescent="0.25">
      <c r="A62" s="596" t="s">
        <v>663</v>
      </c>
      <c r="B62" s="597">
        <v>24000</v>
      </c>
      <c r="C62" s="597"/>
      <c r="D62" s="597"/>
      <c r="E62" s="639"/>
      <c r="F62" s="597"/>
      <c r="G62" s="597"/>
      <c r="H62" s="597">
        <v>53465</v>
      </c>
      <c r="I62" s="597"/>
      <c r="J62" s="597"/>
      <c r="K62" s="597">
        <v>27262</v>
      </c>
      <c r="L62" s="597"/>
      <c r="M62" s="596"/>
      <c r="N62" s="602"/>
      <c r="O62" s="615"/>
      <c r="P62" s="814"/>
    </row>
    <row r="63" spans="1:19" x14ac:dyDescent="0.25">
      <c r="A63" s="596" t="s">
        <v>1572</v>
      </c>
      <c r="B63" s="597"/>
      <c r="C63" s="597"/>
      <c r="D63" s="597"/>
      <c r="E63" s="639"/>
      <c r="F63" s="597"/>
      <c r="G63" s="597"/>
      <c r="H63" s="597"/>
      <c r="I63" s="597"/>
      <c r="J63" s="597"/>
      <c r="K63" s="597">
        <v>120050</v>
      </c>
      <c r="L63" s="597">
        <f>+'Working Budget with funding det'!M236+'Working Budget with funding det'!Q186+'Working Budget with funding det'!Q187</f>
        <v>238800</v>
      </c>
      <c r="M63" s="596"/>
      <c r="N63" s="602"/>
      <c r="O63" s="615"/>
      <c r="P63" s="814"/>
    </row>
    <row r="64" spans="1:19" x14ac:dyDescent="0.25">
      <c r="A64" s="596" t="s">
        <v>1331</v>
      </c>
      <c r="B64" s="597"/>
      <c r="C64" s="597"/>
      <c r="D64" s="597"/>
      <c r="E64" s="639"/>
      <c r="F64" s="597">
        <v>132000</v>
      </c>
      <c r="G64" s="597"/>
      <c r="H64" s="597"/>
      <c r="I64" s="597"/>
      <c r="J64" s="597">
        <v>47</v>
      </c>
      <c r="K64" s="597">
        <v>60</v>
      </c>
      <c r="L64" s="597">
        <v>13</v>
      </c>
      <c r="M64" s="596"/>
      <c r="N64" s="602"/>
      <c r="O64" s="615"/>
      <c r="P64" s="814"/>
    </row>
    <row r="65" spans="1:16" hidden="1" x14ac:dyDescent="0.25">
      <c r="A65" s="596" t="s">
        <v>1389</v>
      </c>
      <c r="B65" s="597"/>
      <c r="C65" s="597"/>
      <c r="D65" s="597"/>
      <c r="E65" s="639"/>
      <c r="F65" s="597">
        <v>44700</v>
      </c>
      <c r="G65" s="597"/>
      <c r="H65" s="597"/>
      <c r="I65" s="597"/>
      <c r="J65" s="597"/>
      <c r="K65" s="597"/>
      <c r="L65" s="597"/>
      <c r="M65" s="596"/>
      <c r="N65" s="615"/>
      <c r="O65" s="615"/>
      <c r="P65" s="814"/>
    </row>
    <row r="66" spans="1:16" hidden="1" x14ac:dyDescent="0.25">
      <c r="A66" s="596" t="s">
        <v>665</v>
      </c>
      <c r="B66" s="597">
        <v>12000</v>
      </c>
      <c r="C66" s="597">
        <v>274055</v>
      </c>
      <c r="D66" s="597">
        <v>113000</v>
      </c>
      <c r="E66" s="639">
        <v>136000</v>
      </c>
      <c r="F66" s="639">
        <f>+'Working Budget with funding det'!R248</f>
        <v>225000</v>
      </c>
      <c r="G66" s="639"/>
      <c r="H66" s="639"/>
      <c r="I66" s="639"/>
      <c r="J66" s="639"/>
      <c r="K66" s="639"/>
      <c r="L66" s="639"/>
      <c r="M66" s="596"/>
      <c r="N66" s="602"/>
      <c r="O66" s="615"/>
      <c r="P66" s="814"/>
    </row>
    <row r="67" spans="1:16" hidden="1" x14ac:dyDescent="0.25">
      <c r="A67" s="596" t="s">
        <v>713</v>
      </c>
      <c r="B67" s="597">
        <v>154182</v>
      </c>
      <c r="C67" s="597">
        <v>0</v>
      </c>
      <c r="D67" s="597"/>
      <c r="E67" s="639"/>
      <c r="F67" s="597"/>
      <c r="G67" s="597"/>
      <c r="H67" s="597"/>
      <c r="I67" s="597"/>
      <c r="J67" s="597"/>
      <c r="K67" s="597"/>
      <c r="L67" s="597"/>
      <c r="M67" s="596"/>
      <c r="N67" s="821"/>
      <c r="O67" s="615"/>
      <c r="P67" s="814"/>
    </row>
    <row r="68" spans="1:16" hidden="1" x14ac:dyDescent="0.25">
      <c r="A68" s="596" t="s">
        <v>1450</v>
      </c>
      <c r="B68" s="597"/>
      <c r="C68" s="597"/>
      <c r="D68" s="597"/>
      <c r="E68" s="639"/>
      <c r="F68" s="597"/>
      <c r="G68" s="597"/>
      <c r="H68" s="597"/>
      <c r="I68" s="597"/>
      <c r="J68" s="597"/>
      <c r="K68" s="597"/>
      <c r="L68" s="597"/>
      <c r="M68" s="596"/>
      <c r="N68" s="602"/>
      <c r="O68" s="615"/>
      <c r="P68" s="814"/>
    </row>
    <row r="69" spans="1:16" hidden="1" x14ac:dyDescent="0.25">
      <c r="A69" s="596" t="s">
        <v>982</v>
      </c>
      <c r="B69" s="597"/>
      <c r="C69" s="597"/>
      <c r="D69" s="597">
        <v>15000</v>
      </c>
      <c r="E69" s="639">
        <v>0</v>
      </c>
      <c r="F69" s="597"/>
      <c r="G69" s="597"/>
      <c r="H69" s="597"/>
      <c r="I69" s="597"/>
      <c r="J69" s="597"/>
      <c r="K69" s="597"/>
      <c r="L69" s="597"/>
      <c r="M69" s="596"/>
      <c r="N69" s="822"/>
      <c r="O69" s="615"/>
      <c r="P69" s="814"/>
    </row>
    <row r="70" spans="1:16" x14ac:dyDescent="0.25">
      <c r="A70" s="596" t="s">
        <v>99</v>
      </c>
      <c r="B70" s="597">
        <v>89400</v>
      </c>
      <c r="C70" s="597">
        <f>+'Colle 228 183'!D30</f>
        <v>94215.84</v>
      </c>
      <c r="D70" s="597">
        <f>+'Colle 228 183'!I30</f>
        <v>84573.5</v>
      </c>
      <c r="E70" s="639">
        <v>80350</v>
      </c>
      <c r="F70" s="597">
        <v>102150</v>
      </c>
      <c r="G70" s="597">
        <v>97525</v>
      </c>
      <c r="H70" s="597">
        <f>+'Colle 228 183'!I30+150000</f>
        <v>234573.5</v>
      </c>
      <c r="I70" s="597">
        <v>95400</v>
      </c>
      <c r="J70" s="597">
        <v>79750</v>
      </c>
      <c r="K70" s="597">
        <f>+'Colle 228 183'!M30</f>
        <v>78950</v>
      </c>
      <c r="L70" s="597">
        <f>+'Colle 228 183'!P30</f>
        <v>49950</v>
      </c>
      <c r="M70" s="596"/>
      <c r="N70" s="94"/>
      <c r="O70" s="94"/>
      <c r="P70" s="814"/>
    </row>
    <row r="71" spans="1:16" x14ac:dyDescent="0.25">
      <c r="A71" s="596" t="s">
        <v>436</v>
      </c>
      <c r="B71" s="641">
        <f t="shared" ref="B71:H71" si="14">SUM(B57:B70)</f>
        <v>298582</v>
      </c>
      <c r="C71" s="641">
        <f t="shared" si="14"/>
        <v>368270.83999999997</v>
      </c>
      <c r="D71" s="641">
        <f t="shared" si="14"/>
        <v>212573.5</v>
      </c>
      <c r="E71" s="642">
        <f t="shared" si="14"/>
        <v>216350</v>
      </c>
      <c r="F71" s="641">
        <f t="shared" si="14"/>
        <v>503850</v>
      </c>
      <c r="G71" s="641">
        <f t="shared" si="14"/>
        <v>120375</v>
      </c>
      <c r="H71" s="641">
        <f t="shared" si="14"/>
        <v>288038.5</v>
      </c>
      <c r="I71" s="641">
        <f>SUM(I57:I70)</f>
        <v>95400</v>
      </c>
      <c r="J71" s="641">
        <f>SUM(J57:J70)</f>
        <v>79797</v>
      </c>
      <c r="K71" s="641">
        <f>SUM(K57:K70)</f>
        <v>532833</v>
      </c>
      <c r="L71" s="641">
        <f>SUM(L57:L70)</f>
        <v>643763</v>
      </c>
      <c r="M71" s="596"/>
      <c r="N71" s="615"/>
      <c r="O71" s="615"/>
      <c r="P71" s="814"/>
    </row>
    <row r="72" spans="1:16" ht="15.6" x14ac:dyDescent="0.3">
      <c r="A72" s="596"/>
      <c r="B72" s="208"/>
      <c r="C72" s="208"/>
      <c r="D72" s="597"/>
      <c r="E72" s="639"/>
      <c r="F72" s="597"/>
      <c r="G72" s="597"/>
      <c r="H72" s="597"/>
      <c r="I72" s="597"/>
      <c r="J72" s="597"/>
      <c r="K72" s="597"/>
      <c r="L72" s="597"/>
      <c r="M72" s="596"/>
      <c r="N72" s="602"/>
      <c r="O72" s="615"/>
      <c r="P72" s="814"/>
    </row>
    <row r="73" spans="1:16" ht="16.8" x14ac:dyDescent="0.4">
      <c r="A73" s="638" t="s">
        <v>433</v>
      </c>
      <c r="B73" s="208"/>
      <c r="C73" s="208"/>
      <c r="D73" s="597"/>
      <c r="E73" s="639"/>
      <c r="F73" s="597"/>
      <c r="G73" s="597"/>
      <c r="H73" s="597"/>
      <c r="I73" s="597"/>
      <c r="J73" s="597"/>
      <c r="K73" s="597"/>
      <c r="L73" s="597"/>
      <c r="M73" s="596"/>
      <c r="N73" s="823"/>
      <c r="O73" s="615"/>
      <c r="P73" s="814"/>
    </row>
    <row r="74" spans="1:16" x14ac:dyDescent="0.25">
      <c r="A74" s="596" t="s">
        <v>434</v>
      </c>
      <c r="B74" s="597"/>
      <c r="C74" s="597"/>
      <c r="D74" s="597"/>
      <c r="E74" s="639"/>
      <c r="F74" s="597"/>
      <c r="G74" s="597">
        <v>201000</v>
      </c>
      <c r="H74" s="597">
        <v>194000</v>
      </c>
      <c r="I74" s="597">
        <v>370044</v>
      </c>
      <c r="J74" s="597">
        <f>67260+504483</f>
        <v>571743</v>
      </c>
      <c r="K74" s="597">
        <f>10700+272500</f>
        <v>283200</v>
      </c>
      <c r="L74" s="1093">
        <f>320078-O82</f>
        <v>251242</v>
      </c>
      <c r="M74" s="596"/>
      <c r="N74" s="602" t="s">
        <v>1904</v>
      </c>
      <c r="O74" s="615"/>
      <c r="P74" s="814"/>
    </row>
    <row r="75" spans="1:16" x14ac:dyDescent="0.25">
      <c r="A75" s="596" t="s">
        <v>435</v>
      </c>
      <c r="B75" s="601">
        <v>250000</v>
      </c>
      <c r="C75" s="601">
        <v>250000</v>
      </c>
      <c r="D75" s="601">
        <v>250000</v>
      </c>
      <c r="E75" s="646">
        <v>250000</v>
      </c>
      <c r="F75" s="601">
        <v>250000</v>
      </c>
      <c r="G75" s="601">
        <v>200000</v>
      </c>
      <c r="H75" s="646">
        <v>150000</v>
      </c>
      <c r="I75" s="646">
        <v>100000</v>
      </c>
      <c r="J75" s="646"/>
      <c r="K75" s="646"/>
      <c r="L75" s="646"/>
      <c r="M75" s="596"/>
      <c r="N75" s="822"/>
      <c r="O75" s="821"/>
      <c r="P75" s="814" t="s">
        <v>1853</v>
      </c>
    </row>
    <row r="76" spans="1:16" x14ac:dyDescent="0.25">
      <c r="A76" s="596" t="s">
        <v>437</v>
      </c>
      <c r="B76" s="641">
        <f t="shared" ref="B76:L76" si="15">SUM(B74:B75)</f>
        <v>250000</v>
      </c>
      <c r="C76" s="641">
        <f t="shared" si="15"/>
        <v>250000</v>
      </c>
      <c r="D76" s="641">
        <f t="shared" si="15"/>
        <v>250000</v>
      </c>
      <c r="E76" s="642">
        <f t="shared" si="15"/>
        <v>250000</v>
      </c>
      <c r="F76" s="641">
        <f t="shared" si="15"/>
        <v>250000</v>
      </c>
      <c r="G76" s="641">
        <f t="shared" si="15"/>
        <v>401000</v>
      </c>
      <c r="H76" s="641">
        <f t="shared" si="15"/>
        <v>344000</v>
      </c>
      <c r="I76" s="641">
        <f t="shared" si="15"/>
        <v>470044</v>
      </c>
      <c r="J76" s="641">
        <f t="shared" si="15"/>
        <v>571743</v>
      </c>
      <c r="K76" s="641">
        <f t="shared" ref="K76" si="16">SUM(K74:K75)</f>
        <v>283200</v>
      </c>
      <c r="L76" s="641">
        <f t="shared" si="15"/>
        <v>251242</v>
      </c>
      <c r="M76" s="596"/>
      <c r="N76" s="596"/>
      <c r="O76" s="1093">
        <v>2500</v>
      </c>
      <c r="P76" s="813" t="s">
        <v>1854</v>
      </c>
    </row>
    <row r="77" spans="1:16" x14ac:dyDescent="0.25">
      <c r="A77" s="596"/>
      <c r="B77" s="597">
        <f>+A77</f>
        <v>0</v>
      </c>
      <c r="C77" s="597">
        <f>+B77</f>
        <v>0</v>
      </c>
      <c r="D77" s="597">
        <f>+C77</f>
        <v>0</v>
      </c>
      <c r="E77" s="639">
        <f>+D77</f>
        <v>0</v>
      </c>
      <c r="F77" s="597">
        <f>+D77</f>
        <v>0</v>
      </c>
      <c r="G77" s="597">
        <f>+E77</f>
        <v>0</v>
      </c>
      <c r="H77" s="597">
        <f>+E77</f>
        <v>0</v>
      </c>
      <c r="I77" s="597"/>
      <c r="J77" s="597">
        <f>+F77</f>
        <v>0</v>
      </c>
      <c r="K77" s="597">
        <f>+D77</f>
        <v>0</v>
      </c>
      <c r="L77" s="597">
        <f>+G77</f>
        <v>0</v>
      </c>
      <c r="M77" s="596"/>
      <c r="N77" s="596"/>
      <c r="O77" s="1093">
        <v>5270</v>
      </c>
      <c r="P77" s="813" t="s">
        <v>1855</v>
      </c>
    </row>
    <row r="78" spans="1:16" ht="15.6" thickBot="1" x14ac:dyDescent="0.3">
      <c r="A78" s="596" t="s">
        <v>544</v>
      </c>
      <c r="B78" s="603">
        <f t="shared" ref="B78:J78" si="17">+B76+B71+B48+B28+B16</f>
        <v>16880330</v>
      </c>
      <c r="C78" s="603">
        <f t="shared" si="17"/>
        <v>17467389.84</v>
      </c>
      <c r="D78" s="603">
        <f t="shared" si="17"/>
        <v>17881047.5</v>
      </c>
      <c r="E78" s="647">
        <f t="shared" si="17"/>
        <v>18250855</v>
      </c>
      <c r="F78" s="603">
        <f t="shared" si="17"/>
        <v>19388541</v>
      </c>
      <c r="G78" s="603">
        <f t="shared" si="17"/>
        <v>20399308.969999999</v>
      </c>
      <c r="H78" s="603">
        <f t="shared" si="17"/>
        <v>21550511.120000001</v>
      </c>
      <c r="I78" s="603">
        <f t="shared" si="17"/>
        <v>22694319</v>
      </c>
      <c r="J78" s="603">
        <f t="shared" si="17"/>
        <v>23722891</v>
      </c>
      <c r="K78" s="603">
        <f>+K76+K71+K54+K28+K16</f>
        <v>24392396</v>
      </c>
      <c r="L78" s="603">
        <f>+L76+L71+L54+L28+L16</f>
        <v>25461922.670000002</v>
      </c>
      <c r="M78" s="596">
        <f>+L78-K78</f>
        <v>1069526.6700000018</v>
      </c>
      <c r="N78" s="596"/>
      <c r="O78" s="1093">
        <v>10616</v>
      </c>
      <c r="P78" s="813" t="s">
        <v>1856</v>
      </c>
    </row>
    <row r="79" spans="1:16" ht="15.6" thickTop="1" x14ac:dyDescent="0.25">
      <c r="A79" s="596"/>
      <c r="B79" s="597"/>
      <c r="C79" s="597"/>
      <c r="D79" s="597"/>
      <c r="E79" s="639"/>
      <c r="F79" s="597"/>
      <c r="G79" s="597"/>
      <c r="H79" s="597"/>
      <c r="I79" s="597"/>
      <c r="J79" s="597"/>
      <c r="K79" s="597"/>
      <c r="L79" s="597"/>
      <c r="M79" s="986">
        <f>+M78/K78</f>
        <v>4.3846724610407346E-2</v>
      </c>
      <c r="N79" s="596"/>
      <c r="O79" s="1093">
        <v>10000</v>
      </c>
      <c r="P79" s="813" t="s">
        <v>1857</v>
      </c>
    </row>
    <row r="80" spans="1:16" x14ac:dyDescent="0.25">
      <c r="A80" s="596"/>
      <c r="B80" s="597"/>
      <c r="C80" s="597"/>
      <c r="D80" s="597"/>
      <c r="E80" s="639"/>
      <c r="F80" s="597"/>
      <c r="G80" s="597"/>
      <c r="H80" s="597"/>
      <c r="I80" s="597"/>
      <c r="J80" s="597"/>
      <c r="K80" s="597"/>
      <c r="L80" s="597"/>
      <c r="M80" s="986"/>
      <c r="N80" s="596"/>
      <c r="O80" s="1093">
        <v>20350</v>
      </c>
      <c r="P80" s="813" t="s">
        <v>1865</v>
      </c>
    </row>
    <row r="81" spans="1:16" ht="15.6" x14ac:dyDescent="0.3">
      <c r="A81" s="648" t="s">
        <v>777</v>
      </c>
      <c r="B81" s="602"/>
      <c r="C81" s="602"/>
      <c r="D81" s="602"/>
      <c r="E81" s="373"/>
      <c r="F81" s="602"/>
      <c r="G81" s="602"/>
      <c r="H81" s="602"/>
      <c r="I81" s="602"/>
      <c r="J81" s="602"/>
      <c r="K81" s="602"/>
      <c r="L81" s="602"/>
      <c r="M81" s="615"/>
      <c r="N81" s="596"/>
      <c r="O81" s="1093">
        <v>20100</v>
      </c>
      <c r="P81" s="813" t="s">
        <v>1878</v>
      </c>
    </row>
    <row r="82" spans="1:16" x14ac:dyDescent="0.25">
      <c r="A82" s="628" t="s">
        <v>773</v>
      </c>
      <c r="B82" s="602">
        <v>160000</v>
      </c>
      <c r="C82" s="602"/>
      <c r="D82" s="602">
        <v>400000</v>
      </c>
      <c r="E82" s="373">
        <v>1661764</v>
      </c>
      <c r="F82" s="602" t="e">
        <f>SUM(#REF!)</f>
        <v>#REF!</v>
      </c>
      <c r="G82" s="602"/>
      <c r="H82" s="602"/>
      <c r="I82" s="602"/>
      <c r="J82" s="602"/>
      <c r="K82" s="602"/>
      <c r="L82" s="602"/>
      <c r="M82" s="615"/>
      <c r="N82" s="596"/>
      <c r="O82" s="1135">
        <f>SUM(O75:O81)</f>
        <v>68836</v>
      </c>
    </row>
    <row r="83" spans="1:16" x14ac:dyDescent="0.25">
      <c r="A83" s="628" t="s">
        <v>270</v>
      </c>
      <c r="B83" s="601"/>
      <c r="C83" s="601"/>
      <c r="D83" s="601"/>
      <c r="E83" s="646">
        <v>385000</v>
      </c>
      <c r="F83" s="601" t="e">
        <f>SUM(#REF!)</f>
        <v>#REF!</v>
      </c>
      <c r="G83" s="601">
        <v>385000</v>
      </c>
      <c r="H83" s="601">
        <v>521000</v>
      </c>
      <c r="I83" s="601"/>
      <c r="J83" s="601"/>
      <c r="K83" s="601"/>
      <c r="L83" s="601">
        <f>+'Working Budget with funding det'!N233</f>
        <v>0</v>
      </c>
      <c r="M83" s="615"/>
      <c r="N83" s="596"/>
      <c r="O83" s="596"/>
    </row>
    <row r="84" spans="1:16" x14ac:dyDescent="0.25">
      <c r="A84" s="628" t="s">
        <v>778</v>
      </c>
      <c r="B84" s="602">
        <f t="shared" ref="B84:I84" si="18">SUM(B82:B83)</f>
        <v>160000</v>
      </c>
      <c r="C84" s="602">
        <f t="shared" si="18"/>
        <v>0</v>
      </c>
      <c r="D84" s="602">
        <f t="shared" si="18"/>
        <v>400000</v>
      </c>
      <c r="E84" s="373">
        <f t="shared" si="18"/>
        <v>2046764</v>
      </c>
      <c r="F84" s="602" t="e">
        <f t="shared" si="18"/>
        <v>#REF!</v>
      </c>
      <c r="G84" s="602">
        <f>SUM(G82:G83)</f>
        <v>385000</v>
      </c>
      <c r="H84" s="602">
        <f t="shared" si="18"/>
        <v>521000</v>
      </c>
      <c r="I84" s="602">
        <f t="shared" si="18"/>
        <v>0</v>
      </c>
      <c r="J84" s="602">
        <f>SUM(J82:J83)</f>
        <v>0</v>
      </c>
      <c r="K84" s="602">
        <f>SUM(K82:K83)</f>
        <v>0</v>
      </c>
      <c r="L84" s="602">
        <f>SUM(L82:L83)</f>
        <v>0</v>
      </c>
      <c r="M84" s="615"/>
      <c r="N84" s="596"/>
      <c r="O84" s="596"/>
    </row>
    <row r="85" spans="1:16" x14ac:dyDescent="0.25">
      <c r="A85" s="624"/>
      <c r="B85" s="602"/>
      <c r="C85" s="602"/>
      <c r="D85" s="602"/>
      <c r="E85" s="373"/>
      <c r="F85" s="602"/>
      <c r="G85" s="602"/>
      <c r="H85" s="602"/>
      <c r="I85" s="602"/>
      <c r="J85" s="602"/>
      <c r="K85" s="602"/>
      <c r="L85" s="602"/>
      <c r="M85" s="615"/>
      <c r="N85" s="596"/>
      <c r="O85" s="596"/>
    </row>
    <row r="86" spans="1:16" x14ac:dyDescent="0.25">
      <c r="A86" s="628" t="s">
        <v>707</v>
      </c>
      <c r="B86" s="602">
        <v>1693865</v>
      </c>
      <c r="C86" s="602">
        <v>1866887</v>
      </c>
      <c r="D86" s="602">
        <v>1687525</v>
      </c>
      <c r="E86" s="373">
        <v>1913646</v>
      </c>
      <c r="F86" s="602">
        <v>2250472</v>
      </c>
      <c r="G86" s="602">
        <v>2627714</v>
      </c>
      <c r="H86" s="602">
        <v>2241379</v>
      </c>
      <c r="I86" s="602">
        <v>2230727</v>
      </c>
      <c r="J86" s="602">
        <v>2404070</v>
      </c>
      <c r="K86" s="602">
        <v>2335742</v>
      </c>
      <c r="L86" s="602">
        <f>+'Working Budget with funding det'!U248-L87-L83-L60</f>
        <v>2605938</v>
      </c>
      <c r="M86" s="615"/>
      <c r="N86" s="596"/>
      <c r="O86" s="596"/>
    </row>
    <row r="87" spans="1:16" x14ac:dyDescent="0.25">
      <c r="A87" s="628" t="s">
        <v>712</v>
      </c>
      <c r="B87" s="602"/>
      <c r="C87" s="602"/>
      <c r="D87" s="602"/>
      <c r="E87" s="373"/>
      <c r="F87" s="602"/>
      <c r="G87" s="602"/>
      <c r="H87" s="602"/>
      <c r="I87" s="602"/>
      <c r="J87" s="602"/>
      <c r="K87" s="602">
        <v>180000</v>
      </c>
      <c r="L87" s="602"/>
      <c r="M87" s="615"/>
      <c r="N87" s="596"/>
      <c r="O87" s="596"/>
    </row>
    <row r="88" spans="1:16" x14ac:dyDescent="0.25">
      <c r="A88" s="628" t="s">
        <v>708</v>
      </c>
      <c r="B88" s="602">
        <v>31461</v>
      </c>
      <c r="C88" s="602">
        <v>33809</v>
      </c>
      <c r="D88" s="602">
        <v>27165</v>
      </c>
      <c r="E88" s="373">
        <v>30847</v>
      </c>
      <c r="F88" s="602">
        <v>31987</v>
      </c>
      <c r="G88" s="602">
        <v>33258</v>
      </c>
      <c r="H88" s="602">
        <v>36096</v>
      </c>
      <c r="I88" s="602">
        <v>46984</v>
      </c>
      <c r="J88" s="602">
        <v>59089</v>
      </c>
      <c r="K88" s="602">
        <v>206164</v>
      </c>
      <c r="L88" s="602">
        <f>+'Working Budget with funding det'!V248</f>
        <v>316015</v>
      </c>
      <c r="M88" s="615"/>
      <c r="N88" s="596"/>
      <c r="O88" s="596"/>
    </row>
    <row r="89" spans="1:16" x14ac:dyDescent="0.25">
      <c r="A89" s="649"/>
      <c r="B89" s="602"/>
      <c r="C89" s="602"/>
      <c r="D89" s="602"/>
      <c r="E89" s="373"/>
      <c r="F89" s="602"/>
      <c r="G89" s="602"/>
      <c r="H89" s="602"/>
      <c r="I89" s="602"/>
      <c r="J89" s="602"/>
      <c r="K89" s="602"/>
      <c r="L89" s="602"/>
      <c r="M89" s="615"/>
      <c r="N89" s="596"/>
      <c r="O89" s="596"/>
    </row>
    <row r="90" spans="1:16" ht="15.6" thickBot="1" x14ac:dyDescent="0.3">
      <c r="A90" s="628" t="s">
        <v>779</v>
      </c>
      <c r="B90" s="603">
        <f t="shared" ref="B90:I90" si="19">+B88+B86+B84+B78</f>
        <v>18765656</v>
      </c>
      <c r="C90" s="603">
        <f t="shared" si="19"/>
        <v>19368085.84</v>
      </c>
      <c r="D90" s="603">
        <f t="shared" si="19"/>
        <v>19995737.5</v>
      </c>
      <c r="E90" s="647">
        <f t="shared" si="19"/>
        <v>22242112</v>
      </c>
      <c r="F90" s="603" t="e">
        <f t="shared" si="19"/>
        <v>#REF!</v>
      </c>
      <c r="G90" s="603">
        <f>+G88+G86+G84+G78</f>
        <v>23445280.969999999</v>
      </c>
      <c r="H90" s="603">
        <f t="shared" si="19"/>
        <v>24348986.120000001</v>
      </c>
      <c r="I90" s="603">
        <f t="shared" si="19"/>
        <v>24972030</v>
      </c>
      <c r="J90" s="603">
        <f>+J88+J86+J84+J78</f>
        <v>26186050</v>
      </c>
      <c r="K90" s="603">
        <f>+K88+K86+K84+K78+K87</f>
        <v>27114302</v>
      </c>
      <c r="L90" s="603">
        <f>+L88+L86+L84+L78+L87</f>
        <v>28383875.670000002</v>
      </c>
      <c r="M90" s="615"/>
      <c r="N90" s="596"/>
      <c r="O90" s="596"/>
    </row>
    <row r="91" spans="1:16" ht="15.6" thickTop="1" x14ac:dyDescent="0.25">
      <c r="A91" s="615"/>
      <c r="B91" s="602"/>
      <c r="C91" s="602"/>
      <c r="D91" s="602"/>
      <c r="E91" s="602"/>
      <c r="F91" s="602"/>
      <c r="G91" s="602"/>
      <c r="H91" s="602"/>
      <c r="I91" s="602"/>
      <c r="J91" s="602"/>
      <c r="K91" s="602"/>
      <c r="L91" s="602"/>
      <c r="M91" s="615"/>
      <c r="N91" s="596"/>
      <c r="O91" s="596"/>
    </row>
    <row r="92" spans="1:16" x14ac:dyDescent="0.25">
      <c r="A92" s="610" t="s">
        <v>1243</v>
      </c>
      <c r="B92" s="641"/>
      <c r="C92" s="641"/>
      <c r="D92" s="641"/>
      <c r="E92" s="641"/>
      <c r="F92" s="641"/>
      <c r="G92" s="641"/>
      <c r="H92" s="641"/>
      <c r="I92" s="641"/>
      <c r="J92" s="659"/>
      <c r="K92" s="659"/>
      <c r="L92" s="659"/>
      <c r="M92" s="596"/>
      <c r="N92" s="596"/>
      <c r="O92" s="596"/>
    </row>
    <row r="93" spans="1:16" x14ac:dyDescent="0.25">
      <c r="A93" s="614" t="s">
        <v>439</v>
      </c>
      <c r="B93" s="602"/>
      <c r="C93" s="602"/>
      <c r="D93" s="602"/>
      <c r="E93" s="602"/>
      <c r="F93" s="602"/>
      <c r="G93" s="602"/>
      <c r="H93" s="602"/>
      <c r="I93" s="660">
        <v>158792</v>
      </c>
      <c r="J93" s="660">
        <v>161586</v>
      </c>
      <c r="K93" s="660">
        <v>164494</v>
      </c>
      <c r="L93" s="660">
        <v>167455</v>
      </c>
      <c r="M93" s="596"/>
      <c r="N93" s="596"/>
      <c r="O93" s="596"/>
    </row>
    <row r="94" spans="1:16" x14ac:dyDescent="0.25">
      <c r="A94" s="614"/>
      <c r="B94" s="602"/>
      <c r="C94" s="602"/>
      <c r="D94" s="602"/>
      <c r="E94" s="602"/>
      <c r="F94" s="602"/>
      <c r="G94" s="602"/>
      <c r="H94" s="602"/>
      <c r="I94" s="660"/>
      <c r="J94" s="660"/>
      <c r="K94" s="660"/>
      <c r="L94" s="660"/>
      <c r="M94" s="596"/>
      <c r="N94" s="596"/>
      <c r="O94" s="596"/>
    </row>
    <row r="95" spans="1:16" x14ac:dyDescent="0.25">
      <c r="A95" s="614" t="s">
        <v>1251</v>
      </c>
      <c r="B95" s="602"/>
      <c r="C95" s="602"/>
      <c r="D95" s="602"/>
      <c r="E95" s="602"/>
      <c r="F95" s="602"/>
      <c r="G95" s="602"/>
      <c r="H95" s="602"/>
      <c r="I95" s="662">
        <f>ROUND((+I93/2),0)</f>
        <v>79396</v>
      </c>
      <c r="J95" s="662">
        <f>ROUND((+J93/2),0)</f>
        <v>80793</v>
      </c>
      <c r="K95" s="662">
        <f>ROUND((+K93/2),0)</f>
        <v>82247</v>
      </c>
      <c r="L95" s="662">
        <f>ROUND((+L93/2),0)</f>
        <v>83728</v>
      </c>
      <c r="M95" s="596"/>
      <c r="N95" s="596"/>
      <c r="O95" s="596"/>
    </row>
    <row r="96" spans="1:16" x14ac:dyDescent="0.25">
      <c r="A96" s="614" t="s">
        <v>1244</v>
      </c>
      <c r="B96" s="602"/>
      <c r="C96" s="602"/>
      <c r="D96" s="602"/>
      <c r="E96" s="602"/>
      <c r="F96" s="602"/>
      <c r="G96" s="602"/>
      <c r="H96" s="602"/>
      <c r="I96" s="663">
        <f>+I95</f>
        <v>79396</v>
      </c>
      <c r="J96" s="663">
        <f>+J95</f>
        <v>80793</v>
      </c>
      <c r="K96" s="663">
        <f>+K95</f>
        <v>82247</v>
      </c>
      <c r="L96" s="663">
        <f>+L95</f>
        <v>83728</v>
      </c>
      <c r="M96" s="596"/>
      <c r="N96" s="596"/>
      <c r="O96" s="596"/>
    </row>
    <row r="97" spans="1:15" x14ac:dyDescent="0.25">
      <c r="A97" s="614"/>
      <c r="B97" s="602"/>
      <c r="C97" s="602"/>
      <c r="D97" s="602"/>
      <c r="E97" s="602"/>
      <c r="F97" s="602"/>
      <c r="G97" s="602"/>
      <c r="H97" s="602"/>
      <c r="I97" s="660"/>
      <c r="J97" s="660"/>
      <c r="K97" s="660"/>
      <c r="L97" s="660"/>
      <c r="M97" s="596"/>
      <c r="N97" s="596"/>
      <c r="O97" s="596"/>
    </row>
    <row r="98" spans="1:15" x14ac:dyDescent="0.25">
      <c r="A98" s="614" t="s">
        <v>1245</v>
      </c>
      <c r="B98" s="602"/>
      <c r="C98" s="602"/>
      <c r="D98" s="602"/>
      <c r="E98" s="602"/>
      <c r="F98" s="602"/>
      <c r="G98" s="602"/>
      <c r="H98" s="602"/>
      <c r="I98" s="662">
        <f>ROUND((+I95*0.485),0)</f>
        <v>38507</v>
      </c>
      <c r="J98" s="662">
        <f>ROUND((+J95*0.485),0)</f>
        <v>39185</v>
      </c>
      <c r="K98" s="662">
        <f>ROUND((+K95*0.485),0)</f>
        <v>39890</v>
      </c>
      <c r="L98" s="662">
        <f>ROUND((+L95*0.485),0)</f>
        <v>40608</v>
      </c>
      <c r="M98" s="596"/>
      <c r="N98" s="596"/>
      <c r="O98" s="596"/>
    </row>
    <row r="99" spans="1:15" x14ac:dyDescent="0.25">
      <c r="A99" s="614" t="s">
        <v>1246</v>
      </c>
      <c r="B99" s="602"/>
      <c r="C99" s="602"/>
      <c r="D99" s="602"/>
      <c r="E99" s="602"/>
      <c r="F99" s="602"/>
      <c r="G99" s="602"/>
      <c r="H99" s="602"/>
      <c r="I99" s="664">
        <f>+I95-I98</f>
        <v>40889</v>
      </c>
      <c r="J99" s="664">
        <f>+J95-J98</f>
        <v>41608</v>
      </c>
      <c r="K99" s="664">
        <f>+K95-K98</f>
        <v>42357</v>
      </c>
      <c r="L99" s="664">
        <f>+L95-L98</f>
        <v>43120</v>
      </c>
      <c r="M99" s="596"/>
      <c r="N99" s="596"/>
      <c r="O99" s="596"/>
    </row>
    <row r="100" spans="1:15" x14ac:dyDescent="0.25">
      <c r="A100" s="614"/>
      <c r="B100" s="602"/>
      <c r="C100" s="602"/>
      <c r="D100" s="602"/>
      <c r="E100" s="602"/>
      <c r="F100" s="602"/>
      <c r="G100" s="602"/>
      <c r="H100" s="602"/>
      <c r="I100" s="664"/>
      <c r="J100" s="664"/>
      <c r="K100" s="664"/>
      <c r="L100" s="664"/>
      <c r="M100" s="596"/>
      <c r="N100" s="596"/>
      <c r="O100" s="596"/>
    </row>
    <row r="101" spans="1:15" x14ac:dyDescent="0.25">
      <c r="A101" s="614" t="s">
        <v>1247</v>
      </c>
      <c r="B101" s="602"/>
      <c r="C101" s="602"/>
      <c r="D101" s="602"/>
      <c r="E101" s="602"/>
      <c r="F101" s="602"/>
      <c r="G101" s="602"/>
      <c r="H101" s="602"/>
      <c r="I101" s="664">
        <f t="shared" ref="I101:L102" si="20">+I98</f>
        <v>38507</v>
      </c>
      <c r="J101" s="664">
        <f t="shared" si="20"/>
        <v>39185</v>
      </c>
      <c r="K101" s="664">
        <f t="shared" ref="K101" si="21">+K98</f>
        <v>39890</v>
      </c>
      <c r="L101" s="664">
        <f t="shared" si="20"/>
        <v>40608</v>
      </c>
      <c r="M101" s="596"/>
      <c r="N101" s="596"/>
      <c r="O101" s="596"/>
    </row>
    <row r="102" spans="1:15" x14ac:dyDescent="0.25">
      <c r="A102" s="614" t="s">
        <v>1248</v>
      </c>
      <c r="B102" s="602"/>
      <c r="C102" s="602"/>
      <c r="D102" s="602"/>
      <c r="E102" s="602"/>
      <c r="F102" s="602"/>
      <c r="G102" s="602"/>
      <c r="H102" s="602"/>
      <c r="I102" s="663">
        <f t="shared" si="20"/>
        <v>40889</v>
      </c>
      <c r="J102" s="663">
        <f t="shared" si="20"/>
        <v>41608</v>
      </c>
      <c r="K102" s="663">
        <f t="shared" ref="K102" si="22">+K99</f>
        <v>42357</v>
      </c>
      <c r="L102" s="663">
        <f t="shared" si="20"/>
        <v>43120</v>
      </c>
      <c r="M102" s="596"/>
      <c r="N102" s="596"/>
      <c r="O102" s="596"/>
    </row>
    <row r="103" spans="1:15" x14ac:dyDescent="0.25">
      <c r="A103" s="614"/>
      <c r="B103" s="602"/>
      <c r="C103" s="602"/>
      <c r="D103" s="602"/>
      <c r="E103" s="602"/>
      <c r="F103" s="602"/>
      <c r="G103" s="602"/>
      <c r="H103" s="602"/>
      <c r="I103" s="660"/>
      <c r="J103" s="660"/>
      <c r="K103" s="660"/>
      <c r="L103" s="660"/>
      <c r="M103" s="596"/>
      <c r="N103" s="596"/>
      <c r="O103" s="596"/>
    </row>
    <row r="104" spans="1:15" x14ac:dyDescent="0.25">
      <c r="A104" s="620" t="s">
        <v>1249</v>
      </c>
      <c r="B104" s="601"/>
      <c r="C104" s="601"/>
      <c r="D104" s="601"/>
      <c r="E104" s="601"/>
      <c r="F104" s="601"/>
      <c r="G104" s="601"/>
      <c r="H104" s="601"/>
      <c r="I104" s="661">
        <f>SUM(I98:I102)</f>
        <v>158792</v>
      </c>
      <c r="J104" s="661">
        <f>SUM(J98:J102)</f>
        <v>161586</v>
      </c>
      <c r="K104" s="661">
        <f>SUM(K98:K102)</f>
        <v>164494</v>
      </c>
      <c r="L104" s="661">
        <f>SUM(L98:L102)</f>
        <v>167456</v>
      </c>
      <c r="M104" s="596"/>
      <c r="N104" s="596"/>
      <c r="O104" s="596"/>
    </row>
    <row r="105" spans="1:15" x14ac:dyDescent="0.25">
      <c r="A105" s="596"/>
      <c r="B105" s="597"/>
      <c r="C105" s="597"/>
      <c r="D105" s="597"/>
      <c r="E105" s="597"/>
      <c r="F105" s="597"/>
      <c r="G105" s="597"/>
      <c r="H105" s="597"/>
      <c r="I105" s="597"/>
      <c r="J105" s="597"/>
      <c r="K105" s="597"/>
      <c r="L105" s="597"/>
      <c r="M105" s="596"/>
      <c r="N105" s="596"/>
      <c r="O105" s="596"/>
    </row>
    <row r="106" spans="1:15" x14ac:dyDescent="0.25">
      <c r="A106" s="596"/>
      <c r="B106" s="597"/>
      <c r="C106" s="597"/>
      <c r="D106" s="597"/>
      <c r="E106" s="597"/>
      <c r="F106" s="597"/>
      <c r="G106" s="597"/>
      <c r="H106" s="597"/>
      <c r="I106" s="597"/>
      <c r="J106" s="597"/>
      <c r="K106" s="597"/>
      <c r="L106" s="597"/>
      <c r="M106" s="596"/>
      <c r="N106" s="596"/>
      <c r="O106" s="596"/>
    </row>
    <row r="107" spans="1:15" x14ac:dyDescent="0.25">
      <c r="B107" s="54"/>
      <c r="O107" s="596"/>
    </row>
    <row r="108" spans="1:15" ht="157.5" customHeight="1" x14ac:dyDescent="0.25">
      <c r="A108" s="1153" t="s">
        <v>1250</v>
      </c>
      <c r="B108" s="1153"/>
      <c r="C108" s="1153"/>
      <c r="D108" s="1153"/>
      <c r="E108" s="1153"/>
      <c r="F108" s="1153"/>
      <c r="G108" s="1153"/>
      <c r="H108" s="1153"/>
      <c r="I108" s="1153"/>
      <c r="J108" s="1153"/>
      <c r="K108" s="990"/>
      <c r="L108" s="679"/>
    </row>
    <row r="123" spans="2:3" x14ac:dyDescent="0.25">
      <c r="B123" s="56"/>
      <c r="C123" s="56"/>
    </row>
    <row r="139" spans="2:3" x14ac:dyDescent="0.25">
      <c r="B139" s="56"/>
      <c r="C139" s="56"/>
    </row>
    <row r="148" spans="2:3" x14ac:dyDescent="0.25">
      <c r="B148" s="56"/>
      <c r="C148" s="56"/>
    </row>
    <row r="154" spans="2:3" x14ac:dyDescent="0.25">
      <c r="B154" s="56"/>
      <c r="C154" s="56"/>
    </row>
    <row r="163" spans="2:3" x14ac:dyDescent="0.25">
      <c r="B163" s="56"/>
      <c r="C163" s="56"/>
    </row>
    <row r="178" spans="2:3" x14ac:dyDescent="0.25">
      <c r="B178" s="56"/>
      <c r="C178" s="56"/>
    </row>
    <row r="179" spans="2:3" x14ac:dyDescent="0.25">
      <c r="B179" s="54"/>
      <c r="C179" s="54"/>
    </row>
    <row r="189" spans="2:3" x14ac:dyDescent="0.25">
      <c r="B189" s="53"/>
      <c r="C189" s="53"/>
    </row>
  </sheetData>
  <mergeCells count="1">
    <mergeCell ref="A108:J108"/>
  </mergeCells>
  <phoneticPr fontId="0" type="noConversion"/>
  <hyperlinks>
    <hyperlink ref="A2" location="'Table of Contents'!A1" display="TOC" xr:uid="{00000000-0004-0000-0500-000000000000}"/>
  </hyperlinks>
  <pageMargins left="0.75" right="0.75" top="1" bottom="1" header="0.5" footer="0.5"/>
  <pageSetup scale="93" fitToHeight="0" orientation="portrait" r:id="rId1"/>
  <headerFooter alignWithMargins="0">
    <oddFooter>&amp;L&amp;D &amp;T&amp;C&amp;F&amp;R&amp;A  &amp;P</oddFooter>
  </headerFooter>
  <rowBreaks count="1" manualBreakCount="1">
    <brk id="49" max="1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92D050"/>
    <pageSetUpPr fitToPage="1"/>
  </sheetPr>
  <dimension ref="A1:S32"/>
  <sheetViews>
    <sheetView topLeftCell="A5" workbookViewId="0">
      <selection activeCell="P5" sqref="P1:P1048576"/>
    </sheetView>
  </sheetViews>
  <sheetFormatPr defaultRowHeight="13.2" x14ac:dyDescent="0.25"/>
  <cols>
    <col min="1" max="1" width="8.77734375" style="885"/>
    <col min="2" max="2" width="35.77734375" customWidth="1"/>
    <col min="3" max="3" width="14.33203125" style="1" hidden="1" customWidth="1"/>
    <col min="4" max="8" width="14.33203125" style="114" hidden="1" customWidth="1"/>
    <col min="9" max="10" width="14.33203125" style="80" hidden="1" customWidth="1"/>
    <col min="11" max="13" width="14.33203125" style="80" customWidth="1"/>
    <col min="14" max="19" width="14.33203125" customWidth="1"/>
    <col min="20" max="20" width="14.6640625" customWidth="1"/>
  </cols>
  <sheetData>
    <row r="1" spans="1:19" x14ac:dyDescent="0.25">
      <c r="A1" s="874" t="s">
        <v>1021</v>
      </c>
      <c r="B1" s="371" t="s">
        <v>1348</v>
      </c>
      <c r="C1" s="23"/>
      <c r="D1" s="23"/>
      <c r="E1" s="23"/>
      <c r="F1" s="23"/>
      <c r="G1" s="23"/>
      <c r="H1" s="23"/>
      <c r="I1" s="23"/>
      <c r="J1" s="23"/>
      <c r="K1" s="23"/>
      <c r="L1" s="23"/>
      <c r="M1" s="23"/>
      <c r="N1" s="4"/>
      <c r="O1" s="23"/>
      <c r="P1" s="4"/>
      <c r="R1" s="4"/>
      <c r="S1" s="4"/>
    </row>
    <row r="2" spans="1:19" ht="13.8" x14ac:dyDescent="0.25">
      <c r="A2" s="875" t="s">
        <v>261</v>
      </c>
      <c r="B2" s="45"/>
      <c r="C2" s="23"/>
      <c r="E2" s="141"/>
      <c r="I2" s="141" t="s">
        <v>257</v>
      </c>
      <c r="J2" s="141"/>
      <c r="K2" s="141"/>
      <c r="L2" s="141"/>
      <c r="M2" s="141"/>
      <c r="N2" s="61" t="s">
        <v>1</v>
      </c>
      <c r="O2" s="23"/>
      <c r="P2" s="46" t="s">
        <v>2</v>
      </c>
      <c r="S2" s="4"/>
    </row>
    <row r="3" spans="1:19" ht="13.8" thickBot="1" x14ac:dyDescent="0.3">
      <c r="A3" s="876"/>
      <c r="B3" s="4"/>
      <c r="C3" s="23"/>
      <c r="D3" s="23"/>
      <c r="E3" s="23"/>
      <c r="F3" s="23"/>
      <c r="G3" s="23"/>
      <c r="H3" s="23"/>
      <c r="I3" s="23"/>
      <c r="J3" s="23"/>
      <c r="K3" s="23"/>
      <c r="L3" s="23"/>
      <c r="M3" s="23"/>
      <c r="N3" s="4"/>
      <c r="O3" s="23"/>
      <c r="P3" s="4"/>
      <c r="S3" s="4"/>
    </row>
    <row r="4" spans="1:19" ht="13.8" thickTop="1" x14ac:dyDescent="0.25">
      <c r="A4" s="877"/>
      <c r="B4" s="651"/>
      <c r="C4" s="128" t="s">
        <v>127</v>
      </c>
      <c r="D4" s="258" t="s">
        <v>127</v>
      </c>
      <c r="E4" s="258" t="s">
        <v>127</v>
      </c>
      <c r="F4" s="112" t="s">
        <v>127</v>
      </c>
      <c r="G4" s="258" t="s">
        <v>127</v>
      </c>
      <c r="H4" s="112" t="s">
        <v>127</v>
      </c>
      <c r="I4" s="289" t="s">
        <v>127</v>
      </c>
      <c r="J4" s="289" t="s">
        <v>127</v>
      </c>
      <c r="K4" s="289" t="s">
        <v>547</v>
      </c>
      <c r="L4" s="289" t="s">
        <v>127</v>
      </c>
      <c r="M4" s="289" t="s">
        <v>547</v>
      </c>
      <c r="N4" s="112" t="s">
        <v>495</v>
      </c>
      <c r="O4" s="84" t="s">
        <v>910</v>
      </c>
      <c r="P4" s="7" t="s">
        <v>910</v>
      </c>
    </row>
    <row r="5" spans="1:19" x14ac:dyDescent="0.25">
      <c r="A5" s="878"/>
      <c r="B5" s="209"/>
      <c r="C5" s="127"/>
      <c r="D5" s="87"/>
      <c r="E5" s="113"/>
      <c r="F5" s="113"/>
      <c r="G5" s="87"/>
      <c r="H5" s="113"/>
      <c r="I5" s="290"/>
      <c r="J5" s="290"/>
      <c r="K5" s="290"/>
      <c r="L5" s="290"/>
      <c r="M5" s="290"/>
      <c r="N5" s="113" t="s">
        <v>515</v>
      </c>
      <c r="O5" s="88" t="s">
        <v>7</v>
      </c>
      <c r="P5" s="203" t="s">
        <v>782</v>
      </c>
    </row>
    <row r="6" spans="1:19" x14ac:dyDescent="0.25">
      <c r="A6" s="878"/>
      <c r="B6" s="209"/>
      <c r="C6" s="127"/>
      <c r="D6" s="127"/>
      <c r="E6" s="127"/>
      <c r="F6" s="127"/>
      <c r="G6" s="127"/>
      <c r="H6" s="127"/>
      <c r="I6" s="88"/>
      <c r="J6" s="88"/>
      <c r="K6" s="88"/>
      <c r="L6" s="88"/>
      <c r="M6" s="88"/>
      <c r="N6" s="127"/>
      <c r="O6" s="88" t="s">
        <v>8</v>
      </c>
      <c r="P6" s="47" t="s">
        <v>543</v>
      </c>
    </row>
    <row r="7" spans="1:19"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44561</v>
      </c>
      <c r="O7" s="9" t="s">
        <v>9</v>
      </c>
      <c r="P7" s="9" t="s">
        <v>546</v>
      </c>
    </row>
    <row r="8" spans="1:19" ht="13.8" thickTop="1" x14ac:dyDescent="0.25">
      <c r="A8" s="880"/>
      <c r="B8" s="177"/>
      <c r="C8" s="129"/>
      <c r="D8" s="315"/>
      <c r="E8" s="315"/>
      <c r="F8" s="315"/>
      <c r="G8" s="315"/>
      <c r="H8" s="315"/>
      <c r="I8" s="315"/>
      <c r="J8" s="315"/>
      <c r="K8" s="164"/>
      <c r="L8" s="164"/>
      <c r="M8" s="164"/>
      <c r="N8" s="62"/>
      <c r="O8" s="10"/>
      <c r="P8" s="10"/>
    </row>
    <row r="9" spans="1:19" ht="13.8" thickBot="1" x14ac:dyDescent="0.3">
      <c r="A9" s="881">
        <v>5115</v>
      </c>
      <c r="B9" s="63" t="s">
        <v>129</v>
      </c>
      <c r="C9" s="131">
        <v>1263.08</v>
      </c>
      <c r="D9" s="15">
        <v>1303.56</v>
      </c>
      <c r="E9" s="15">
        <v>1296.44</v>
      </c>
      <c r="F9" s="15">
        <v>1300</v>
      </c>
      <c r="G9" s="15">
        <v>1500</v>
      </c>
      <c r="H9" s="15">
        <v>1500</v>
      </c>
      <c r="I9" s="318">
        <v>1500</v>
      </c>
      <c r="J9" s="318">
        <v>1575</v>
      </c>
      <c r="K9" s="123">
        <v>1575</v>
      </c>
      <c r="L9" s="318">
        <v>1575</v>
      </c>
      <c r="M9" s="123">
        <v>1575</v>
      </c>
      <c r="N9" s="15">
        <v>775.56</v>
      </c>
      <c r="O9" s="123">
        <v>1575</v>
      </c>
      <c r="P9" s="123"/>
    </row>
    <row r="10" spans="1:19" x14ac:dyDescent="0.25">
      <c r="A10" s="881"/>
      <c r="B10" s="64" t="s">
        <v>130</v>
      </c>
      <c r="C10" s="132">
        <f t="shared" ref="C10:O10" si="0">SUM(C9:C9)</f>
        <v>1263.08</v>
      </c>
      <c r="D10" s="18">
        <f t="shared" si="0"/>
        <v>1303.56</v>
      </c>
      <c r="E10" s="18">
        <f t="shared" si="0"/>
        <v>1296.44</v>
      </c>
      <c r="F10" s="18">
        <f>SUM(F9)</f>
        <v>1300</v>
      </c>
      <c r="G10" s="18">
        <f>SUM(G9)</f>
        <v>1500</v>
      </c>
      <c r="H10" s="18">
        <f>SUM(H9)</f>
        <v>1500</v>
      </c>
      <c r="I10" s="18">
        <f>SUM(I9:I9)</f>
        <v>1500</v>
      </c>
      <c r="J10" s="18">
        <f>SUM(J9:J9)</f>
        <v>1575</v>
      </c>
      <c r="K10" s="19">
        <f t="shared" ref="K10:M10" si="1">SUM(K9:K9)</f>
        <v>1575</v>
      </c>
      <c r="L10" s="18">
        <f t="shared" si="1"/>
        <v>1575</v>
      </c>
      <c r="M10" s="19">
        <f t="shared" si="1"/>
        <v>1575</v>
      </c>
      <c r="N10" s="18">
        <f t="shared" si="0"/>
        <v>775.56</v>
      </c>
      <c r="O10" s="19">
        <f t="shared" si="0"/>
        <v>1575</v>
      </c>
      <c r="P10" s="19">
        <f>SUM(P9:P9)</f>
        <v>0</v>
      </c>
    </row>
    <row r="11" spans="1:19" x14ac:dyDescent="0.25">
      <c r="A11" s="881"/>
      <c r="B11" s="63"/>
      <c r="C11" s="130"/>
      <c r="D11" s="13"/>
      <c r="E11" s="13"/>
      <c r="F11" s="13"/>
      <c r="G11" s="13"/>
      <c r="H11" s="13"/>
      <c r="I11" s="13"/>
      <c r="J11" s="13"/>
      <c r="K11" s="14"/>
      <c r="L11" s="13"/>
      <c r="M11" s="14"/>
      <c r="N11" s="13"/>
      <c r="O11" s="14"/>
      <c r="P11" s="14"/>
    </row>
    <row r="12" spans="1:19" x14ac:dyDescent="0.25">
      <c r="A12" s="881">
        <v>5253</v>
      </c>
      <c r="B12" s="63" t="s">
        <v>1561</v>
      </c>
      <c r="C12" s="117">
        <f>10479.01-C15</f>
        <v>9389.7999999999993</v>
      </c>
      <c r="D12" s="102">
        <f>10511.14-D15</f>
        <v>10355.199999999999</v>
      </c>
      <c r="E12" s="102">
        <f>11580-E15</f>
        <v>10890</v>
      </c>
      <c r="F12" s="102">
        <v>7472.5</v>
      </c>
      <c r="G12" s="102">
        <v>10320</v>
      </c>
      <c r="H12" s="102">
        <v>14165.8</v>
      </c>
      <c r="I12" s="102">
        <v>14750</v>
      </c>
      <c r="J12" s="102">
        <v>13800</v>
      </c>
      <c r="K12" s="34">
        <v>17000</v>
      </c>
      <c r="L12" s="103">
        <v>17600</v>
      </c>
      <c r="M12" s="252">
        <v>27000</v>
      </c>
      <c r="N12" s="18">
        <v>13937.5</v>
      </c>
      <c r="O12" s="252">
        <v>27000</v>
      </c>
      <c r="P12" s="14"/>
    </row>
    <row r="13" spans="1:19" x14ac:dyDescent="0.25">
      <c r="A13" s="881">
        <v>5344</v>
      </c>
      <c r="B13" s="63" t="s">
        <v>142</v>
      </c>
      <c r="C13" s="250"/>
      <c r="D13" s="37">
        <v>0</v>
      </c>
      <c r="E13" s="37"/>
      <c r="F13" s="37"/>
      <c r="G13" s="37"/>
      <c r="H13" s="37"/>
      <c r="I13" s="37">
        <v>0</v>
      </c>
      <c r="J13" s="37"/>
      <c r="K13" s="38">
        <v>100</v>
      </c>
      <c r="L13" s="30"/>
      <c r="M13" s="38">
        <v>100</v>
      </c>
      <c r="N13" s="18"/>
      <c r="O13" s="38">
        <v>100</v>
      </c>
      <c r="P13" s="38"/>
    </row>
    <row r="14" spans="1:19" x14ac:dyDescent="0.25">
      <c r="A14" s="881">
        <v>5345</v>
      </c>
      <c r="B14" s="63" t="s">
        <v>143</v>
      </c>
      <c r="C14" s="130"/>
      <c r="D14" s="13">
        <v>0</v>
      </c>
      <c r="E14" s="13"/>
      <c r="F14" s="13">
        <v>119.13</v>
      </c>
      <c r="G14" s="13"/>
      <c r="H14" s="13"/>
      <c r="I14" s="13">
        <v>292.5</v>
      </c>
      <c r="J14" s="13"/>
      <c r="K14" s="14">
        <v>500</v>
      </c>
      <c r="L14" s="13"/>
      <c r="M14" s="14">
        <v>500</v>
      </c>
      <c r="N14" s="13"/>
      <c r="O14" s="14">
        <v>500</v>
      </c>
      <c r="P14" s="14"/>
    </row>
    <row r="15" spans="1:19" x14ac:dyDescent="0.25">
      <c r="A15" s="908">
        <v>5588</v>
      </c>
      <c r="B15" s="110" t="s">
        <v>977</v>
      </c>
      <c r="C15" s="130">
        <f>105+14.24+679.98+289.99</f>
        <v>1089.21</v>
      </c>
      <c r="D15" s="13">
        <v>155.94</v>
      </c>
      <c r="E15" s="13">
        <f>240+450</f>
        <v>690</v>
      </c>
      <c r="F15" s="13">
        <v>3849.86</v>
      </c>
      <c r="G15" s="13">
        <v>1811</v>
      </c>
      <c r="H15" s="13">
        <v>930</v>
      </c>
      <c r="I15" s="13">
        <v>418</v>
      </c>
      <c r="J15" s="13">
        <v>250</v>
      </c>
      <c r="K15" s="14">
        <v>1000</v>
      </c>
      <c r="L15" s="13"/>
      <c r="M15" s="14">
        <v>1000</v>
      </c>
      <c r="N15" s="13"/>
      <c r="O15" s="14">
        <v>1000</v>
      </c>
      <c r="P15" s="14"/>
    </row>
    <row r="16" spans="1:19" ht="13.8" thickBot="1" x14ac:dyDescent="0.3">
      <c r="A16" s="908">
        <v>5730</v>
      </c>
      <c r="B16" s="110" t="s">
        <v>134</v>
      </c>
      <c r="C16" s="718">
        <v>75</v>
      </c>
      <c r="D16" s="39">
        <v>75</v>
      </c>
      <c r="E16" s="39">
        <v>75</v>
      </c>
      <c r="F16" s="39">
        <v>85</v>
      </c>
      <c r="G16" s="39">
        <v>85</v>
      </c>
      <c r="H16" s="39">
        <v>85</v>
      </c>
      <c r="I16" s="39">
        <v>85</v>
      </c>
      <c r="J16" s="39">
        <v>85</v>
      </c>
      <c r="K16" s="40">
        <v>110</v>
      </c>
      <c r="L16" s="39">
        <v>85</v>
      </c>
      <c r="M16" s="40">
        <v>110</v>
      </c>
      <c r="N16" s="39"/>
      <c r="O16" s="40">
        <v>110</v>
      </c>
      <c r="P16" s="40"/>
    </row>
    <row r="17" spans="1:16" x14ac:dyDescent="0.25">
      <c r="A17" s="881"/>
      <c r="B17" s="64" t="s">
        <v>449</v>
      </c>
      <c r="C17" s="132">
        <f t="shared" ref="C17:N17" si="2">SUM(C12:C16)</f>
        <v>10554.009999999998</v>
      </c>
      <c r="D17" s="18">
        <f t="shared" si="2"/>
        <v>10586.14</v>
      </c>
      <c r="E17" s="18">
        <f t="shared" si="2"/>
        <v>11655</v>
      </c>
      <c r="F17" s="18">
        <f>SUM(F12:F16)</f>
        <v>11526.49</v>
      </c>
      <c r="G17" s="18">
        <f>SUM(G12:G16)</f>
        <v>12216</v>
      </c>
      <c r="H17" s="18">
        <f>SUM(H12:H16)</f>
        <v>15180.8</v>
      </c>
      <c r="I17" s="18">
        <f t="shared" si="2"/>
        <v>15545.5</v>
      </c>
      <c r="J17" s="18">
        <f t="shared" ref="J17" si="3">SUM(J12:J16)</f>
        <v>14135</v>
      </c>
      <c r="K17" s="19">
        <f>SUM(K12:K16)</f>
        <v>18710</v>
      </c>
      <c r="L17" s="18">
        <f t="shared" ref="L17:M17" si="4">SUM(L12:L16)</f>
        <v>17685</v>
      </c>
      <c r="M17" s="19">
        <f t="shared" si="4"/>
        <v>28710</v>
      </c>
      <c r="N17" s="18">
        <f t="shared" si="2"/>
        <v>13937.5</v>
      </c>
      <c r="O17" s="19">
        <f>SUM(O12:O16)</f>
        <v>28710</v>
      </c>
      <c r="P17" s="19">
        <f>SUM(P12:P16)</f>
        <v>0</v>
      </c>
    </row>
    <row r="18" spans="1:16" x14ac:dyDescent="0.25">
      <c r="A18" s="881"/>
      <c r="B18" s="63"/>
      <c r="C18" s="130"/>
      <c r="D18" s="13"/>
      <c r="E18" s="13"/>
      <c r="F18" s="13"/>
      <c r="G18" s="13"/>
      <c r="H18" s="13"/>
      <c r="I18" s="13"/>
      <c r="J18" s="13"/>
      <c r="K18" s="14"/>
      <c r="L18" s="13"/>
      <c r="M18" s="14"/>
      <c r="N18" s="13"/>
      <c r="O18" s="14"/>
      <c r="P18" s="14"/>
    </row>
    <row r="19" spans="1:16" ht="13.8" thickBot="1" x14ac:dyDescent="0.3">
      <c r="A19" s="882"/>
      <c r="B19" s="20" t="s">
        <v>3</v>
      </c>
      <c r="C19" s="21">
        <f t="shared" ref="C19:N19" si="5">+C17+C10</f>
        <v>11817.089999999998</v>
      </c>
      <c r="D19" s="21">
        <f t="shared" si="5"/>
        <v>11889.699999999999</v>
      </c>
      <c r="E19" s="21">
        <f>+E17+E10</f>
        <v>12951.44</v>
      </c>
      <c r="F19" s="21">
        <f>+F17+F10</f>
        <v>12826.49</v>
      </c>
      <c r="G19" s="21">
        <f>+G17+G10</f>
        <v>13716</v>
      </c>
      <c r="H19" s="21">
        <f>+H17+H10</f>
        <v>16680.8</v>
      </c>
      <c r="I19" s="21">
        <f t="shared" si="5"/>
        <v>17045.5</v>
      </c>
      <c r="J19" s="21">
        <f t="shared" ref="J19" si="6">+J17+J10</f>
        <v>15710</v>
      </c>
      <c r="K19" s="22">
        <f>+K17+K10</f>
        <v>20285</v>
      </c>
      <c r="L19" s="21">
        <f t="shared" ref="L19:M19" si="7">+L17+L10</f>
        <v>19260</v>
      </c>
      <c r="M19" s="22">
        <f t="shared" si="7"/>
        <v>30285</v>
      </c>
      <c r="N19" s="21">
        <f t="shared" si="5"/>
        <v>14713.06</v>
      </c>
      <c r="O19" s="22">
        <f>+O17+O10</f>
        <v>30285</v>
      </c>
      <c r="P19" s="22">
        <f>+O19</f>
        <v>30285</v>
      </c>
    </row>
    <row r="20" spans="1:16" ht="13.8" thickTop="1" x14ac:dyDescent="0.25">
      <c r="P20" s="23"/>
    </row>
    <row r="21" spans="1:16" ht="13.8" thickBot="1" x14ac:dyDescent="0.3">
      <c r="A21" s="1076">
        <v>44543</v>
      </c>
      <c r="B21" s="746" t="s">
        <v>1803</v>
      </c>
      <c r="P21" s="27"/>
    </row>
    <row r="22" spans="1:16" ht="13.8" thickTop="1" x14ac:dyDescent="0.25">
      <c r="A22" s="893"/>
      <c r="B22" s="452"/>
      <c r="C22" s="453" t="s">
        <v>127</v>
      </c>
      <c r="D22" s="454" t="s">
        <v>127</v>
      </c>
      <c r="E22" s="454" t="s">
        <v>127</v>
      </c>
      <c r="K22" s="455" t="s">
        <v>547</v>
      </c>
      <c r="L22" s="456" t="s">
        <v>9</v>
      </c>
      <c r="M22" s="457" t="s">
        <v>1073</v>
      </c>
      <c r="N22" s="456" t="s">
        <v>686</v>
      </c>
      <c r="O22" s="458"/>
      <c r="P22" s="457"/>
    </row>
    <row r="23" spans="1:16" ht="13.8" thickBot="1" x14ac:dyDescent="0.3">
      <c r="A23" s="894" t="s">
        <v>128</v>
      </c>
      <c r="B23" s="459"/>
      <c r="C23" s="460" t="s">
        <v>347</v>
      </c>
      <c r="D23" s="460" t="s">
        <v>722</v>
      </c>
      <c r="E23" s="461" t="s">
        <v>737</v>
      </c>
      <c r="K23" s="462" t="s">
        <v>909</v>
      </c>
      <c r="L23" s="462" t="s">
        <v>910</v>
      </c>
      <c r="M23" s="461" t="s">
        <v>1075</v>
      </c>
      <c r="N23" s="463" t="s">
        <v>1075</v>
      </c>
      <c r="O23" s="464" t="s">
        <v>1074</v>
      </c>
      <c r="P23" s="462"/>
    </row>
    <row r="24" spans="1:16" ht="13.8" thickTop="1" x14ac:dyDescent="0.25">
      <c r="A24" s="906"/>
      <c r="B24" s="487"/>
      <c r="C24" s="488"/>
      <c r="D24" s="489"/>
      <c r="E24" s="489"/>
      <c r="K24" s="490"/>
      <c r="L24" s="489"/>
      <c r="M24" s="490"/>
      <c r="N24" s="488"/>
      <c r="O24" s="470"/>
      <c r="P24" s="471"/>
    </row>
    <row r="25" spans="1:16" ht="13.8" thickBot="1" x14ac:dyDescent="0.3">
      <c r="A25" s="907">
        <v>5115</v>
      </c>
      <c r="B25" s="472" t="s">
        <v>129</v>
      </c>
      <c r="C25" s="474">
        <v>1263.08</v>
      </c>
      <c r="D25" s="474">
        <v>1303.56</v>
      </c>
      <c r="E25" s="474">
        <v>1296.44</v>
      </c>
      <c r="K25" s="475">
        <f>+M9</f>
        <v>1575</v>
      </c>
      <c r="L25" s="497">
        <f>+O9</f>
        <v>1575</v>
      </c>
      <c r="M25" s="471">
        <f t="shared" ref="M25:M30" si="8">+L25-K25</f>
        <v>0</v>
      </c>
      <c r="N25" s="477" t="str">
        <f t="shared" ref="N25:N30" si="9">IF(K25+L25&lt;&gt;0,IF(K25&lt;&gt;0,IF(M25&lt;&gt;0,ROUND((+M25/K25),4),""),1),"")</f>
        <v/>
      </c>
      <c r="O25" s="470"/>
      <c r="P25" s="471"/>
    </row>
    <row r="26" spans="1:16" x14ac:dyDescent="0.25">
      <c r="A26" s="907">
        <v>5253</v>
      </c>
      <c r="B26" s="472" t="s">
        <v>976</v>
      </c>
      <c r="C26" s="484">
        <f>10479.01-C29</f>
        <v>9389.7999999999993</v>
      </c>
      <c r="D26" s="484">
        <f>10511.14-D29</f>
        <v>10355.199999999999</v>
      </c>
      <c r="E26" s="484">
        <f>11580-E29</f>
        <v>10890</v>
      </c>
      <c r="K26" s="470">
        <f>+M12</f>
        <v>27000</v>
      </c>
      <c r="L26" s="497">
        <f>+O12</f>
        <v>27000</v>
      </c>
      <c r="M26" s="471">
        <f t="shared" si="8"/>
        <v>0</v>
      </c>
      <c r="N26" s="477" t="str">
        <f t="shared" si="9"/>
        <v/>
      </c>
      <c r="O26" s="470"/>
      <c r="P26" s="471"/>
    </row>
    <row r="27" spans="1:16" x14ac:dyDescent="0.25">
      <c r="A27" s="907">
        <v>5344</v>
      </c>
      <c r="B27" s="472" t="s">
        <v>142</v>
      </c>
      <c r="C27" s="478"/>
      <c r="D27" s="478">
        <v>0</v>
      </c>
      <c r="E27" s="478"/>
      <c r="K27" s="470">
        <f>+M13</f>
        <v>100</v>
      </c>
      <c r="L27" s="497">
        <f>+O13</f>
        <v>100</v>
      </c>
      <c r="M27" s="471">
        <f t="shared" si="8"/>
        <v>0</v>
      </c>
      <c r="N27" s="477" t="str">
        <f t="shared" si="9"/>
        <v/>
      </c>
      <c r="O27" s="470"/>
      <c r="P27" s="471"/>
    </row>
    <row r="28" spans="1:16" x14ac:dyDescent="0.25">
      <c r="A28" s="907">
        <v>5345</v>
      </c>
      <c r="B28" s="472" t="s">
        <v>143</v>
      </c>
      <c r="C28" s="476"/>
      <c r="D28" s="476">
        <v>0</v>
      </c>
      <c r="E28" s="476"/>
      <c r="K28" s="470">
        <f>+M14</f>
        <v>500</v>
      </c>
      <c r="L28" s="497">
        <f>+O14</f>
        <v>500</v>
      </c>
      <c r="M28" s="471">
        <f t="shared" si="8"/>
        <v>0</v>
      </c>
      <c r="N28" s="477" t="str">
        <f t="shared" si="9"/>
        <v/>
      </c>
      <c r="O28" s="470"/>
      <c r="P28" s="471"/>
    </row>
    <row r="29" spans="1:16" x14ac:dyDescent="0.25">
      <c r="A29" s="910">
        <v>5588</v>
      </c>
      <c r="B29" s="480" t="s">
        <v>977</v>
      </c>
      <c r="C29" s="476">
        <f>105+14.24+679.98+289.99</f>
        <v>1089.21</v>
      </c>
      <c r="D29" s="476">
        <v>155.94</v>
      </c>
      <c r="E29" s="476">
        <f>240+450</f>
        <v>690</v>
      </c>
      <c r="K29" s="470">
        <f>+M15</f>
        <v>1000</v>
      </c>
      <c r="L29" s="497">
        <f>+O15</f>
        <v>1000</v>
      </c>
      <c r="M29" s="471">
        <f t="shared" si="8"/>
        <v>0</v>
      </c>
      <c r="N29" s="477" t="str">
        <f t="shared" si="9"/>
        <v/>
      </c>
      <c r="O29" s="470"/>
      <c r="P29" s="471"/>
    </row>
    <row r="30" spans="1:16" ht="13.8" thickBot="1" x14ac:dyDescent="0.3">
      <c r="A30" s="910">
        <v>5730</v>
      </c>
      <c r="B30" s="480" t="s">
        <v>134</v>
      </c>
      <c r="C30" s="495">
        <v>75</v>
      </c>
      <c r="D30" s="495">
        <v>75</v>
      </c>
      <c r="E30" s="495">
        <v>75</v>
      </c>
      <c r="K30" s="470">
        <f>+M16</f>
        <v>110</v>
      </c>
      <c r="L30" s="497">
        <f>+O16</f>
        <v>110</v>
      </c>
      <c r="M30" s="471">
        <f t="shared" si="8"/>
        <v>0</v>
      </c>
      <c r="N30" s="477" t="str">
        <f t="shared" si="9"/>
        <v/>
      </c>
      <c r="O30" s="470"/>
      <c r="P30" s="471"/>
    </row>
    <row r="31" spans="1:16" x14ac:dyDescent="0.25">
      <c r="K31" s="114"/>
    </row>
    <row r="32" spans="1:16" x14ac:dyDescent="0.25">
      <c r="B32" s="4" t="s">
        <v>1363</v>
      </c>
      <c r="C32" s="23"/>
      <c r="D32" s="23"/>
      <c r="E32" s="23"/>
      <c r="F32" s="23"/>
      <c r="G32" s="23"/>
      <c r="K32" s="742">
        <f>SUM(K25:K31)</f>
        <v>30285</v>
      </c>
      <c r="L32" s="742">
        <f>SUM(I21:I31)</f>
        <v>0</v>
      </c>
      <c r="M32" s="202">
        <f>+L32-K32</f>
        <v>-30285</v>
      </c>
      <c r="N32" s="743">
        <f>IF(K32+L32&lt;&gt;0,IF(K32&lt;&gt;0,IF(M32&lt;&gt;0,ROUND((+M32/K32),4),""),1),"")</f>
        <v>-1</v>
      </c>
    </row>
  </sheetData>
  <phoneticPr fontId="0" type="noConversion"/>
  <hyperlinks>
    <hyperlink ref="A1" location="'Working Budget with funding det'!A1" display="Main " xr:uid="{00000000-0004-0000-2000-000000000000}"/>
    <hyperlink ref="B1" location="'Table of Contents'!A1" display="TOC" xr:uid="{00000000-0004-0000-2000-000001000000}"/>
  </hyperlinks>
  <pageMargins left="0.75" right="0.75" top="1" bottom="1" header="0.5" footer="0.5"/>
  <pageSetup orientation="landscape" r:id="rId1"/>
  <headerFooter alignWithMargins="0">
    <oddFooter>&amp;L&amp;D  &amp;T&amp;C&amp;F&amp;R&amp;A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0000"/>
    <pageSetUpPr fitToPage="1"/>
  </sheetPr>
  <dimension ref="A1:T160"/>
  <sheetViews>
    <sheetView workbookViewId="0">
      <selection activeCell="P1" sqref="P1:P1048576"/>
    </sheetView>
  </sheetViews>
  <sheetFormatPr defaultRowHeight="13.2" x14ac:dyDescent="0.25"/>
  <cols>
    <col min="1" max="1" width="11.109375" style="885" bestFit="1" customWidth="1"/>
    <col min="2" max="2" width="36.6640625" customWidth="1"/>
    <col min="3" max="3" width="17.77734375" style="1" hidden="1" customWidth="1"/>
    <col min="4" max="10" width="16.44140625" style="114" hidden="1" customWidth="1"/>
    <col min="11" max="13" width="16.44140625" style="114" customWidth="1"/>
    <col min="14" max="14" width="17" customWidth="1"/>
    <col min="15" max="16" width="15.77734375" style="1" customWidth="1"/>
    <col min="17" max="17" width="16.33203125" customWidth="1"/>
    <col min="18" max="18" width="16.77734375" customWidth="1"/>
    <col min="19" max="19" width="17.77734375" customWidth="1"/>
    <col min="20" max="20" width="14.6640625" style="2" customWidth="1"/>
    <col min="21" max="21" width="15.33203125" bestFit="1" customWidth="1"/>
  </cols>
  <sheetData>
    <row r="1" spans="1:19" x14ac:dyDescent="0.25">
      <c r="A1" s="874" t="s">
        <v>1021</v>
      </c>
      <c r="B1" s="371" t="s">
        <v>1348</v>
      </c>
      <c r="P1"/>
    </row>
    <row r="2" spans="1:19" ht="13.8" x14ac:dyDescent="0.25">
      <c r="A2" s="875" t="s">
        <v>258</v>
      </c>
      <c r="B2" s="45"/>
      <c r="E2" s="141"/>
      <c r="I2" s="141" t="s">
        <v>257</v>
      </c>
      <c r="J2" s="141"/>
      <c r="K2" s="141"/>
      <c r="L2" s="141"/>
      <c r="M2" s="141"/>
      <c r="N2" s="61" t="s">
        <v>332</v>
      </c>
      <c r="P2" s="46" t="s">
        <v>491</v>
      </c>
    </row>
    <row r="3" spans="1:19" ht="13.8" thickBot="1" x14ac:dyDescent="0.3">
      <c r="A3" s="876"/>
      <c r="B3" s="4"/>
      <c r="C3" s="23"/>
      <c r="D3" s="23"/>
      <c r="E3" s="23"/>
      <c r="F3" s="23"/>
      <c r="G3" s="23"/>
      <c r="H3" s="23"/>
      <c r="I3" s="23"/>
      <c r="J3" s="23"/>
      <c r="K3" s="23"/>
      <c r="L3" s="23"/>
      <c r="M3" s="23"/>
      <c r="N3" s="4"/>
      <c r="O3" s="23"/>
      <c r="P3" s="4"/>
      <c r="S3" s="4"/>
    </row>
    <row r="4" spans="1:19" ht="13.8" thickTop="1" x14ac:dyDescent="0.25">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t="s">
        <v>910</v>
      </c>
    </row>
    <row r="5" spans="1:19" x14ac:dyDescent="0.25">
      <c r="A5" s="878"/>
      <c r="B5" s="209"/>
      <c r="C5" s="127"/>
      <c r="D5" s="87"/>
      <c r="E5" s="113"/>
      <c r="F5" s="87"/>
      <c r="G5" s="87"/>
      <c r="H5" s="113"/>
      <c r="I5" s="290"/>
      <c r="J5" s="290"/>
      <c r="K5" s="290"/>
      <c r="L5" s="290"/>
      <c r="M5" s="290"/>
      <c r="N5" s="113" t="s">
        <v>515</v>
      </c>
      <c r="O5" s="88" t="s">
        <v>7</v>
      </c>
      <c r="P5" s="203" t="s">
        <v>782</v>
      </c>
    </row>
    <row r="6" spans="1:19" x14ac:dyDescent="0.25">
      <c r="A6" s="878"/>
      <c r="B6" s="209"/>
      <c r="C6" s="127"/>
      <c r="D6" s="127"/>
      <c r="E6" s="127"/>
      <c r="F6" s="127"/>
      <c r="G6" s="127"/>
      <c r="H6" s="127"/>
      <c r="I6" s="88"/>
      <c r="J6" s="88"/>
      <c r="K6" s="88"/>
      <c r="L6" s="88"/>
      <c r="M6" s="88"/>
      <c r="N6" s="127"/>
      <c r="O6" s="88" t="s">
        <v>8</v>
      </c>
      <c r="P6" s="47" t="s">
        <v>543</v>
      </c>
    </row>
    <row r="7" spans="1:19"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44561</v>
      </c>
      <c r="O7" s="9" t="s">
        <v>9</v>
      </c>
      <c r="P7" s="9" t="s">
        <v>546</v>
      </c>
    </row>
    <row r="8" spans="1:19" ht="13.8" thickTop="1" x14ac:dyDescent="0.25">
      <c r="A8" s="908"/>
      <c r="B8" s="210"/>
      <c r="C8" s="132"/>
      <c r="D8" s="18"/>
      <c r="E8" s="18"/>
      <c r="F8" s="18"/>
      <c r="G8" s="18"/>
      <c r="H8" s="18"/>
      <c r="I8" s="19"/>
      <c r="J8" s="19"/>
      <c r="K8" s="19"/>
      <c r="L8" s="19"/>
      <c r="M8" s="19"/>
      <c r="N8" s="18"/>
      <c r="O8" s="19"/>
      <c r="P8" s="19"/>
    </row>
    <row r="9" spans="1:19" ht="13.8" thickBot="1" x14ac:dyDescent="0.3">
      <c r="A9" s="908">
        <v>5321</v>
      </c>
      <c r="B9" s="63" t="s">
        <v>186</v>
      </c>
      <c r="C9" s="130">
        <v>737865</v>
      </c>
      <c r="D9" s="144">
        <v>731659</v>
      </c>
      <c r="E9" s="144">
        <v>682601</v>
      </c>
      <c r="F9" s="144">
        <v>760615</v>
      </c>
      <c r="G9" s="144">
        <v>659356</v>
      </c>
      <c r="H9" s="318">
        <v>747340</v>
      </c>
      <c r="I9" s="318">
        <v>974337.89</v>
      </c>
      <c r="J9" s="318">
        <v>1085003.6299999999</v>
      </c>
      <c r="K9" s="123">
        <v>1255456</v>
      </c>
      <c r="L9" s="123">
        <v>1255455.8400000001</v>
      </c>
      <c r="M9" s="123">
        <f>1196460+24545</f>
        <v>1221005</v>
      </c>
      <c r="N9" s="15">
        <v>622774.84</v>
      </c>
      <c r="O9" s="123">
        <f>1003999+25567</f>
        <v>1029566</v>
      </c>
      <c r="P9" s="757"/>
    </row>
    <row r="10" spans="1:19" ht="13.8" hidden="1" thickBot="1" x14ac:dyDescent="0.3">
      <c r="A10" s="881"/>
      <c r="B10" s="110" t="s">
        <v>562</v>
      </c>
      <c r="C10" s="718"/>
      <c r="D10" s="319"/>
      <c r="E10" s="319"/>
      <c r="F10" s="319"/>
      <c r="G10" s="319"/>
      <c r="H10" s="319"/>
      <c r="I10" s="319"/>
      <c r="J10" s="319"/>
      <c r="K10" s="147"/>
      <c r="L10" s="147"/>
      <c r="M10" s="147"/>
      <c r="N10" s="39"/>
      <c r="O10" s="147"/>
      <c r="P10" s="146"/>
    </row>
    <row r="11" spans="1:19" x14ac:dyDescent="0.25">
      <c r="A11" s="881"/>
      <c r="B11" s="64" t="s">
        <v>187</v>
      </c>
      <c r="C11" s="132">
        <f t="shared" ref="C11:O11" si="0">SUM(C9:C10)</f>
        <v>737865</v>
      </c>
      <c r="D11" s="18">
        <f t="shared" si="0"/>
        <v>731659</v>
      </c>
      <c r="E11" s="18">
        <f t="shared" si="0"/>
        <v>682601</v>
      </c>
      <c r="F11" s="18">
        <f>+F9</f>
        <v>760615</v>
      </c>
      <c r="G11" s="18">
        <f>+G9</f>
        <v>659356</v>
      </c>
      <c r="H11" s="18">
        <f>+H9</f>
        <v>747340</v>
      </c>
      <c r="I11" s="18">
        <f t="shared" si="0"/>
        <v>974337.89</v>
      </c>
      <c r="J11" s="18">
        <f t="shared" si="0"/>
        <v>1085003.6299999999</v>
      </c>
      <c r="K11" s="249">
        <f t="shared" ref="K11:M11" si="1">SUM(K9:K10)</f>
        <v>1255456</v>
      </c>
      <c r="L11" s="249">
        <f t="shared" si="1"/>
        <v>1255455.8400000001</v>
      </c>
      <c r="M11" s="249">
        <f t="shared" si="1"/>
        <v>1221005</v>
      </c>
      <c r="N11" s="18">
        <f t="shared" si="0"/>
        <v>622774.84</v>
      </c>
      <c r="O11" s="249">
        <f t="shared" si="0"/>
        <v>1029566</v>
      </c>
      <c r="P11" s="249">
        <f>+O11</f>
        <v>1029566</v>
      </c>
      <c r="Q11" s="604">
        <f>+O11-K11</f>
        <v>-225890</v>
      </c>
    </row>
    <row r="12" spans="1:19" x14ac:dyDescent="0.25">
      <c r="A12" s="881"/>
      <c r="B12" s="63"/>
      <c r="C12" s="130"/>
      <c r="D12" s="13"/>
      <c r="E12" s="13"/>
      <c r="F12" s="13"/>
      <c r="G12" s="13"/>
      <c r="H12" s="13"/>
      <c r="I12" s="13"/>
      <c r="J12" s="13"/>
      <c r="K12" s="122"/>
      <c r="L12" s="122"/>
      <c r="M12" s="122"/>
      <c r="N12" s="13"/>
      <c r="O12" s="122"/>
      <c r="P12" s="14"/>
      <c r="Q12" s="988">
        <f>+Q11/K11</f>
        <v>-0.17992665613131803</v>
      </c>
    </row>
    <row r="13" spans="1:19" ht="13.8" thickBot="1" x14ac:dyDescent="0.3">
      <c r="A13" s="881" t="s">
        <v>188</v>
      </c>
      <c r="B13" s="63" t="s">
        <v>698</v>
      </c>
      <c r="C13" s="131">
        <v>7850604</v>
      </c>
      <c r="D13" s="318">
        <v>7965557</v>
      </c>
      <c r="E13" s="318">
        <v>8293458</v>
      </c>
      <c r="F13" s="318">
        <v>8498343</v>
      </c>
      <c r="G13" s="318">
        <v>8852114</v>
      </c>
      <c r="H13" s="318">
        <v>9356560</v>
      </c>
      <c r="I13" s="15">
        <v>9811160</v>
      </c>
      <c r="J13" s="15">
        <v>10229737</v>
      </c>
      <c r="K13" s="123">
        <v>10732268</v>
      </c>
      <c r="L13" s="123">
        <v>10732268</v>
      </c>
      <c r="M13" s="123">
        <v>10950854</v>
      </c>
      <c r="N13" s="15">
        <v>5475427</v>
      </c>
      <c r="O13" s="123">
        <v>11341466</v>
      </c>
      <c r="P13" s="413"/>
      <c r="Q13" s="604">
        <f>+O13-K13</f>
        <v>609198</v>
      </c>
    </row>
    <row r="14" spans="1:19" x14ac:dyDescent="0.25">
      <c r="A14" s="881"/>
      <c r="B14" s="64" t="s">
        <v>189</v>
      </c>
      <c r="C14" s="132">
        <f t="shared" ref="C14:O14" si="2">SUM(C13:C13)</f>
        <v>7850604</v>
      </c>
      <c r="D14" s="18">
        <f t="shared" si="2"/>
        <v>7965557</v>
      </c>
      <c r="E14" s="18">
        <f t="shared" si="2"/>
        <v>8293458</v>
      </c>
      <c r="F14" s="18">
        <f>+F13</f>
        <v>8498343</v>
      </c>
      <c r="G14" s="18">
        <f>+G13</f>
        <v>8852114</v>
      </c>
      <c r="H14" s="18">
        <f>+H13</f>
        <v>9356560</v>
      </c>
      <c r="I14" s="18">
        <f t="shared" si="2"/>
        <v>9811160</v>
      </c>
      <c r="J14" s="18">
        <f t="shared" ref="J14" si="3">SUM(J13:J13)</f>
        <v>10229737</v>
      </c>
      <c r="K14" s="36">
        <f t="shared" ref="K14:M14" si="4">SUM(K13:K13)</f>
        <v>10732268</v>
      </c>
      <c r="L14" s="36">
        <f t="shared" si="4"/>
        <v>10732268</v>
      </c>
      <c r="M14" s="36">
        <f t="shared" si="4"/>
        <v>10950854</v>
      </c>
      <c r="N14" s="18">
        <f t="shared" si="2"/>
        <v>5475427</v>
      </c>
      <c r="O14" s="36">
        <f t="shared" si="2"/>
        <v>11341466</v>
      </c>
      <c r="P14" s="36">
        <f>+O14</f>
        <v>11341466</v>
      </c>
      <c r="Q14" s="369">
        <f>+Q13/K13</f>
        <v>5.6763211652933007E-2</v>
      </c>
    </row>
    <row r="15" spans="1:19" hidden="1" x14ac:dyDescent="0.25">
      <c r="A15" s="881"/>
      <c r="B15" s="63"/>
      <c r="C15" s="130"/>
      <c r="D15" s="13"/>
      <c r="E15" s="13"/>
      <c r="F15" s="13"/>
      <c r="G15" s="13"/>
      <c r="H15" s="13"/>
      <c r="I15" s="13"/>
      <c r="J15" s="13"/>
      <c r="K15" s="14"/>
      <c r="L15" s="14"/>
      <c r="M15" s="14"/>
      <c r="N15" s="13"/>
      <c r="O15" s="14"/>
      <c r="P15" s="14"/>
    </row>
    <row r="16" spans="1:19" hidden="1" x14ac:dyDescent="0.25">
      <c r="A16" s="881">
        <v>5325</v>
      </c>
      <c r="B16" s="63" t="s">
        <v>56</v>
      </c>
      <c r="C16" s="130"/>
      <c r="D16" s="13"/>
      <c r="E16" s="13"/>
      <c r="F16" s="13"/>
      <c r="G16" s="13"/>
      <c r="H16" s="13"/>
      <c r="I16" s="13"/>
      <c r="J16" s="13"/>
      <c r="K16" s="14"/>
      <c r="L16" s="14"/>
      <c r="M16" s="14"/>
      <c r="N16" s="13"/>
      <c r="O16" s="14"/>
      <c r="P16" s="14"/>
    </row>
    <row r="17" spans="1:20" hidden="1" x14ac:dyDescent="0.25">
      <c r="A17" s="881"/>
      <c r="B17" s="63"/>
      <c r="C17" s="130"/>
      <c r="D17" s="13"/>
      <c r="E17" s="13"/>
      <c r="F17" s="13"/>
      <c r="G17" s="13"/>
      <c r="H17" s="13"/>
      <c r="I17" s="13"/>
      <c r="J17" s="13"/>
      <c r="K17" s="14"/>
      <c r="L17" s="14"/>
      <c r="M17" s="14"/>
      <c r="N17" s="13"/>
      <c r="O17" s="14"/>
      <c r="P17" s="14"/>
    </row>
    <row r="18" spans="1:20" x14ac:dyDescent="0.25">
      <c r="A18" s="881"/>
      <c r="B18" s="63"/>
      <c r="C18" s="130"/>
      <c r="D18" s="13"/>
      <c r="E18" s="13"/>
      <c r="F18" s="13"/>
      <c r="G18" s="13"/>
      <c r="H18" s="13"/>
      <c r="I18" s="13"/>
      <c r="J18" s="13"/>
      <c r="K18" s="14"/>
      <c r="L18" s="14"/>
      <c r="M18" s="14"/>
      <c r="N18" s="13"/>
      <c r="O18" s="14"/>
      <c r="P18" s="14"/>
    </row>
    <row r="19" spans="1:20" ht="13.8" thickBot="1" x14ac:dyDescent="0.3">
      <c r="A19" s="882"/>
      <c r="B19" s="20" t="s">
        <v>190</v>
      </c>
      <c r="C19" s="21">
        <f t="shared" ref="C19:O19" si="5">+C14+C11+C16</f>
        <v>8588469</v>
      </c>
      <c r="D19" s="21">
        <f t="shared" si="5"/>
        <v>8697216</v>
      </c>
      <c r="E19" s="21">
        <f>+E14+E11+E16</f>
        <v>8976059</v>
      </c>
      <c r="F19" s="21">
        <f>+F14+F11</f>
        <v>9258958</v>
      </c>
      <c r="G19" s="21">
        <f>+G14+G11</f>
        <v>9511470</v>
      </c>
      <c r="H19" s="21">
        <f>+H14+H11</f>
        <v>10103900</v>
      </c>
      <c r="I19" s="21">
        <f>+I14+I11+I16</f>
        <v>10785497.890000001</v>
      </c>
      <c r="J19" s="21">
        <f>+J14+J11+J16</f>
        <v>11314740.629999999</v>
      </c>
      <c r="K19" s="22">
        <f t="shared" ref="K19:M19" si="6">+K14+K11+K16</f>
        <v>11987724</v>
      </c>
      <c r="L19" s="22">
        <f t="shared" si="6"/>
        <v>11987723.84</v>
      </c>
      <c r="M19" s="22">
        <f t="shared" si="6"/>
        <v>12171859</v>
      </c>
      <c r="N19" s="21">
        <f t="shared" si="5"/>
        <v>6098201.8399999999</v>
      </c>
      <c r="O19" s="22">
        <f t="shared" si="5"/>
        <v>12371032</v>
      </c>
      <c r="P19" s="22">
        <f>+O19</f>
        <v>12371032</v>
      </c>
    </row>
    <row r="20" spans="1:20" ht="13.8" thickTop="1" x14ac:dyDescent="0.25">
      <c r="A20" s="876"/>
      <c r="B20" s="4"/>
      <c r="C20" s="24"/>
      <c r="D20" s="24"/>
      <c r="E20" s="24"/>
      <c r="F20" s="24"/>
      <c r="G20" s="24"/>
      <c r="H20" s="24"/>
      <c r="I20" s="24"/>
      <c r="J20" s="24"/>
      <c r="K20" s="24"/>
      <c r="L20" s="24"/>
      <c r="M20" s="24"/>
      <c r="N20" s="25"/>
      <c r="O20" s="24"/>
      <c r="P20" s="25"/>
      <c r="R20" s="25"/>
      <c r="S20" s="25"/>
    </row>
    <row r="21" spans="1:20" x14ac:dyDescent="0.25">
      <c r="A21" s="57">
        <v>44523</v>
      </c>
      <c r="B21" s="4" t="s">
        <v>1662</v>
      </c>
      <c r="C21" s="24"/>
      <c r="D21" s="24"/>
      <c r="E21" s="24"/>
      <c r="F21" s="24"/>
      <c r="G21" s="24"/>
      <c r="H21" s="24"/>
      <c r="I21" s="24"/>
      <c r="J21" s="24"/>
      <c r="K21" s="24"/>
      <c r="L21" s="24"/>
      <c r="M21" s="24"/>
      <c r="N21" s="25"/>
      <c r="O21" s="325">
        <f>+O19-K19</f>
        <v>383308</v>
      </c>
      <c r="P21" s="744">
        <f>ROUND((+O21/K19),4)</f>
        <v>3.2000000000000001E-2</v>
      </c>
      <c r="R21" s="25"/>
      <c r="S21" s="25"/>
    </row>
    <row r="22" spans="1:20" x14ac:dyDescent="0.25">
      <c r="A22" s="57">
        <v>44621</v>
      </c>
      <c r="B22" s="4" t="s">
        <v>1907</v>
      </c>
      <c r="C22" s="24"/>
      <c r="D22" s="24"/>
      <c r="E22" s="24"/>
      <c r="F22" s="24"/>
      <c r="G22" s="24"/>
      <c r="H22" s="24"/>
      <c r="I22" s="24"/>
      <c r="J22" s="24"/>
      <c r="K22" s="24"/>
      <c r="L22" s="24"/>
      <c r="M22" s="24"/>
      <c r="N22" s="25"/>
      <c r="O22" s="24"/>
      <c r="P22" s="25"/>
      <c r="R22" s="25"/>
      <c r="S22" s="25"/>
    </row>
    <row r="23" spans="1:20" x14ac:dyDescent="0.25">
      <c r="A23" s="57"/>
      <c r="B23" s="4"/>
      <c r="C23" s="24"/>
      <c r="D23" s="24"/>
      <c r="E23" s="24"/>
      <c r="F23" s="24"/>
      <c r="G23" s="24"/>
      <c r="H23" s="24"/>
      <c r="I23" s="24"/>
      <c r="J23" s="24"/>
      <c r="K23" s="24"/>
      <c r="L23" s="24"/>
      <c r="M23" s="24"/>
      <c r="N23" s="25"/>
      <c r="O23" s="24"/>
      <c r="P23" s="25"/>
      <c r="R23" s="25"/>
      <c r="S23" s="25"/>
    </row>
    <row r="24" spans="1:20" x14ac:dyDescent="0.25">
      <c r="A24" s="944"/>
      <c r="B24" s="26" t="s">
        <v>1909</v>
      </c>
      <c r="C24" s="24"/>
      <c r="D24" s="24"/>
      <c r="E24" s="24"/>
      <c r="F24" s="24"/>
      <c r="G24" s="24"/>
      <c r="H24" s="24"/>
      <c r="I24" s="24"/>
      <c r="J24" s="24"/>
      <c r="K24" s="24"/>
      <c r="L24" s="24"/>
      <c r="M24" s="24"/>
      <c r="N24" s="25"/>
      <c r="O24" s="24"/>
      <c r="P24" s="24"/>
      <c r="Q24" s="25"/>
      <c r="R24" s="25"/>
      <c r="S24" s="25"/>
      <c r="T24" s="54"/>
    </row>
    <row r="25" spans="1:20" x14ac:dyDescent="0.25">
      <c r="A25" s="944"/>
      <c r="B25" s="26"/>
      <c r="C25" s="24"/>
      <c r="D25" s="24"/>
      <c r="E25" s="24"/>
      <c r="F25" s="24"/>
      <c r="G25" s="24"/>
      <c r="H25" s="24"/>
      <c r="I25" s="24"/>
      <c r="J25" s="24"/>
      <c r="K25" s="24"/>
      <c r="L25" s="24"/>
      <c r="M25" s="24"/>
      <c r="N25" s="25"/>
      <c r="O25" s="24"/>
      <c r="P25" s="24"/>
      <c r="Q25" s="25"/>
      <c r="R25" s="25"/>
      <c r="S25" s="25"/>
      <c r="T25" s="54"/>
    </row>
    <row r="26" spans="1:20" x14ac:dyDescent="0.25">
      <c r="A26" s="944"/>
      <c r="B26" s="26"/>
      <c r="C26" s="24"/>
      <c r="D26" s="24"/>
      <c r="E26" s="24"/>
      <c r="F26" s="24"/>
      <c r="G26" s="24"/>
      <c r="H26" s="24"/>
      <c r="I26" s="24"/>
      <c r="J26" s="24"/>
      <c r="K26" s="24"/>
      <c r="L26" s="24"/>
      <c r="M26" s="24"/>
      <c r="N26" s="25"/>
      <c r="O26" s="24"/>
      <c r="P26" s="24"/>
      <c r="Q26" s="25"/>
      <c r="R26" s="25"/>
      <c r="S26" s="25"/>
      <c r="T26" s="54"/>
    </row>
    <row r="27" spans="1:20" s="376" customFormat="1" ht="15.6" x14ac:dyDescent="0.3">
      <c r="A27" s="951" t="s">
        <v>979</v>
      </c>
      <c r="B27" s="433"/>
      <c r="C27" s="434"/>
      <c r="D27" s="434"/>
      <c r="E27" s="434"/>
      <c r="F27" s="434"/>
      <c r="G27" s="434"/>
      <c r="H27" s="434"/>
      <c r="I27" s="434"/>
      <c r="J27" s="434"/>
      <c r="K27" s="434"/>
      <c r="L27" s="434"/>
      <c r="M27" s="434"/>
      <c r="N27" s="433"/>
      <c r="O27" s="434"/>
      <c r="P27" s="377"/>
      <c r="T27" s="378"/>
    </row>
    <row r="28" spans="1:20" s="376" customFormat="1" ht="15.6" x14ac:dyDescent="0.3">
      <c r="A28" s="952" t="s">
        <v>978</v>
      </c>
      <c r="B28" s="433"/>
      <c r="C28" s="434"/>
      <c r="D28" s="434"/>
      <c r="E28" s="434"/>
      <c r="F28" s="434"/>
      <c r="G28" s="434"/>
      <c r="H28" s="434"/>
      <c r="I28" s="434"/>
      <c r="J28" s="434"/>
      <c r="K28" s="434"/>
      <c r="L28" s="434"/>
      <c r="M28" s="434"/>
      <c r="N28" s="433"/>
      <c r="O28" s="434"/>
      <c r="P28" s="377"/>
      <c r="T28" s="378"/>
    </row>
    <row r="29" spans="1:20" s="376" customFormat="1" ht="15.6" x14ac:dyDescent="0.3">
      <c r="A29" s="952"/>
      <c r="B29" s="433" t="s">
        <v>1910</v>
      </c>
      <c r="C29" s="434"/>
      <c r="D29" s="434"/>
      <c r="E29" s="434"/>
      <c r="F29" s="434"/>
      <c r="G29" s="434"/>
      <c r="H29" s="434"/>
      <c r="I29" s="434"/>
      <c r="J29" s="434"/>
      <c r="K29" s="434"/>
      <c r="L29" s="434"/>
      <c r="M29" s="434"/>
      <c r="N29" s="433"/>
      <c r="O29" s="434"/>
      <c r="P29" s="377"/>
      <c r="T29" s="378"/>
    </row>
    <row r="30" spans="1:20" s="376" customFormat="1" ht="16.2" x14ac:dyDescent="0.35">
      <c r="A30" s="952"/>
      <c r="B30" s="433" t="s">
        <v>1908</v>
      </c>
      <c r="C30" s="434"/>
      <c r="D30" s="434"/>
      <c r="E30" s="434"/>
      <c r="F30" s="434"/>
      <c r="G30" s="434"/>
      <c r="H30" s="434"/>
      <c r="I30" s="434"/>
      <c r="J30" s="434"/>
      <c r="K30" s="434"/>
      <c r="L30" s="434"/>
      <c r="M30" s="434"/>
      <c r="N30" s="433"/>
      <c r="O30" s="434"/>
      <c r="P30" s="377"/>
      <c r="T30" s="378"/>
    </row>
    <row r="31" spans="1:20" s="376" customFormat="1" ht="16.2" x14ac:dyDescent="0.35">
      <c r="A31" s="952"/>
      <c r="B31" s="433" t="s">
        <v>1912</v>
      </c>
      <c r="C31" s="434"/>
      <c r="D31" s="434"/>
      <c r="E31" s="434"/>
      <c r="F31" s="434"/>
      <c r="G31" s="434"/>
      <c r="H31" s="434"/>
      <c r="I31" s="434"/>
      <c r="J31" s="434"/>
      <c r="K31" s="434"/>
      <c r="L31" s="434"/>
      <c r="M31" s="434"/>
      <c r="N31" s="433"/>
      <c r="O31" s="434"/>
      <c r="P31" s="377"/>
      <c r="T31" s="378"/>
    </row>
    <row r="32" spans="1:20" s="376" customFormat="1" ht="15.6" x14ac:dyDescent="0.3">
      <c r="A32" s="952"/>
      <c r="B32" s="433" t="s">
        <v>1913</v>
      </c>
      <c r="C32" s="434"/>
      <c r="D32" s="434"/>
      <c r="E32" s="434"/>
      <c r="F32" s="434"/>
      <c r="G32" s="434"/>
      <c r="H32" s="434"/>
      <c r="I32" s="434"/>
      <c r="J32" s="434"/>
      <c r="K32" s="434"/>
      <c r="L32" s="434"/>
      <c r="M32" s="434"/>
      <c r="N32" s="433"/>
      <c r="O32" s="434"/>
      <c r="P32" s="377"/>
      <c r="T32" s="378"/>
    </row>
    <row r="33" spans="1:20" s="376" customFormat="1" ht="15.6" x14ac:dyDescent="0.3">
      <c r="A33" s="953">
        <v>44523</v>
      </c>
      <c r="B33" s="752" t="s">
        <v>1661</v>
      </c>
      <c r="C33" s="377"/>
      <c r="D33" s="377"/>
      <c r="E33" s="377"/>
      <c r="F33" s="377"/>
      <c r="G33" s="377"/>
      <c r="H33" s="377"/>
      <c r="I33" s="377"/>
      <c r="J33" s="377"/>
      <c r="K33" s="377"/>
      <c r="L33" s="377"/>
      <c r="M33" s="377"/>
      <c r="O33" s="377"/>
      <c r="P33" s="377"/>
      <c r="T33" s="378"/>
    </row>
    <row r="34" spans="1:20" s="376" customFormat="1" ht="15.6" x14ac:dyDescent="0.3">
      <c r="A34" s="927"/>
      <c r="C34" s="377"/>
      <c r="D34" s="377"/>
      <c r="E34" s="377"/>
      <c r="F34" s="377"/>
      <c r="G34" s="377"/>
      <c r="H34" s="377"/>
      <c r="I34" s="377"/>
      <c r="J34" s="377"/>
      <c r="K34" s="377"/>
      <c r="L34" s="377"/>
      <c r="M34" s="377"/>
      <c r="O34" s="377"/>
      <c r="P34" s="377"/>
      <c r="T34" s="378"/>
    </row>
    <row r="35" spans="1:20" s="376" customFormat="1" ht="15.6" x14ac:dyDescent="0.3">
      <c r="A35" s="927"/>
      <c r="C35" s="377"/>
      <c r="D35" s="377"/>
      <c r="E35" s="377"/>
      <c r="F35" s="377"/>
      <c r="G35" s="377"/>
      <c r="H35" s="377"/>
      <c r="I35" s="377"/>
      <c r="J35" s="377"/>
      <c r="K35" s="377"/>
      <c r="L35" s="377"/>
      <c r="M35" s="377"/>
      <c r="O35" s="377"/>
      <c r="P35" s="377"/>
      <c r="T35" s="378"/>
    </row>
    <row r="36" spans="1:20" s="376" customFormat="1" ht="15.6" x14ac:dyDescent="0.3">
      <c r="A36" s="927"/>
      <c r="C36" s="377"/>
      <c r="D36" s="377"/>
      <c r="E36" s="377"/>
      <c r="F36" s="377"/>
      <c r="G36" s="377"/>
      <c r="H36" s="377"/>
      <c r="I36" s="377"/>
      <c r="J36" s="377"/>
      <c r="K36" s="377"/>
      <c r="L36" s="377"/>
      <c r="M36" s="377"/>
      <c r="O36" s="377"/>
      <c r="P36" s="377"/>
      <c r="T36" s="378"/>
    </row>
    <row r="37" spans="1:20" s="376" customFormat="1" ht="15.6" x14ac:dyDescent="0.3">
      <c r="A37" s="927"/>
      <c r="B37" s="376" t="s">
        <v>909</v>
      </c>
      <c r="C37" s="377"/>
      <c r="D37" s="377"/>
      <c r="E37" s="377"/>
      <c r="F37" s="377"/>
      <c r="G37" s="377"/>
      <c r="I37" s="377">
        <v>107</v>
      </c>
      <c r="J37" s="377"/>
      <c r="K37" s="377"/>
      <c r="L37" s="377"/>
      <c r="M37" s="377"/>
      <c r="O37" s="377"/>
      <c r="P37" s="377"/>
      <c r="T37" s="378"/>
    </row>
    <row r="38" spans="1:20" s="376" customFormat="1" ht="15.6" x14ac:dyDescent="0.3">
      <c r="A38" s="927"/>
      <c r="B38" s="376" t="s">
        <v>908</v>
      </c>
      <c r="C38" s="377"/>
      <c r="D38" s="377"/>
      <c r="E38" s="377"/>
      <c r="F38" s="377"/>
      <c r="G38" s="377"/>
      <c r="I38" s="377">
        <v>105</v>
      </c>
      <c r="J38" s="377"/>
      <c r="K38" s="377"/>
      <c r="L38" s="377"/>
      <c r="M38" s="377"/>
      <c r="O38" s="377"/>
      <c r="P38" s="377"/>
      <c r="T38" s="378"/>
    </row>
    <row r="39" spans="1:20" s="376" customFormat="1" ht="15.6" x14ac:dyDescent="0.3">
      <c r="A39" s="927"/>
      <c r="B39" s="376" t="s">
        <v>907</v>
      </c>
      <c r="C39" s="377"/>
      <c r="D39" s="377"/>
      <c r="E39" s="377"/>
      <c r="F39" s="377"/>
      <c r="G39" s="377"/>
      <c r="I39" s="377">
        <v>85</v>
      </c>
      <c r="J39" s="377"/>
      <c r="K39" s="377"/>
      <c r="L39" s="377"/>
      <c r="M39" s="377"/>
      <c r="O39" s="377"/>
      <c r="P39" s="377"/>
      <c r="T39" s="378"/>
    </row>
    <row r="40" spans="1:20" s="376" customFormat="1" ht="15.6" x14ac:dyDescent="0.3">
      <c r="A40" s="927"/>
      <c r="B40" s="376" t="s">
        <v>906</v>
      </c>
      <c r="C40" s="377"/>
      <c r="D40" s="377"/>
      <c r="E40" s="377"/>
      <c r="F40" s="377"/>
      <c r="G40" s="377"/>
      <c r="I40" s="377">
        <v>76</v>
      </c>
      <c r="J40" s="377"/>
      <c r="K40" s="377"/>
      <c r="L40" s="377"/>
      <c r="M40" s="377"/>
      <c r="O40" s="377"/>
      <c r="P40" s="377"/>
      <c r="T40" s="378"/>
    </row>
    <row r="41" spans="1:20" s="376" customFormat="1" ht="15.6" x14ac:dyDescent="0.3">
      <c r="A41" s="927"/>
      <c r="B41" s="376" t="s">
        <v>905</v>
      </c>
      <c r="C41" s="377"/>
      <c r="D41" s="377"/>
      <c r="E41" s="377"/>
      <c r="F41" s="377"/>
      <c r="G41" s="377"/>
      <c r="I41" s="377">
        <v>59</v>
      </c>
      <c r="J41" s="377"/>
      <c r="K41" s="377"/>
      <c r="L41" s="377"/>
      <c r="M41" s="377"/>
      <c r="O41" s="377"/>
      <c r="P41" s="377"/>
      <c r="T41" s="378"/>
    </row>
    <row r="42" spans="1:20" s="376" customFormat="1" ht="15.6" x14ac:dyDescent="0.3">
      <c r="A42" s="927"/>
      <c r="B42" s="376" t="s">
        <v>889</v>
      </c>
      <c r="C42" s="377"/>
      <c r="D42" s="377"/>
      <c r="E42" s="377"/>
      <c r="F42" s="377"/>
      <c r="G42" s="377"/>
      <c r="I42" s="377">
        <v>56</v>
      </c>
      <c r="J42" s="377"/>
      <c r="K42" s="377"/>
      <c r="L42" s="377"/>
      <c r="M42" s="377"/>
      <c r="O42" s="377"/>
      <c r="P42" s="377"/>
      <c r="T42" s="378"/>
    </row>
    <row r="43" spans="1:20" s="376" customFormat="1" ht="15.6" x14ac:dyDescent="0.3">
      <c r="A43" s="927"/>
      <c r="B43" s="376" t="s">
        <v>789</v>
      </c>
      <c r="C43" s="377"/>
      <c r="D43" s="377"/>
      <c r="E43" s="377"/>
      <c r="F43" s="377"/>
      <c r="G43" s="377"/>
      <c r="I43" s="377">
        <v>70</v>
      </c>
      <c r="J43" s="377"/>
      <c r="K43" s="377"/>
      <c r="L43" s="377"/>
      <c r="M43" s="377"/>
      <c r="O43" s="377"/>
      <c r="P43" s="377"/>
      <c r="T43" s="378"/>
    </row>
    <row r="44" spans="1:20" s="376" customFormat="1" ht="15.6" x14ac:dyDescent="0.3">
      <c r="A44" s="927"/>
      <c r="B44" s="376" t="s">
        <v>735</v>
      </c>
      <c r="C44" s="377"/>
      <c r="D44" s="377"/>
      <c r="E44" s="377"/>
      <c r="F44" s="377"/>
      <c r="G44" s="377"/>
      <c r="I44" s="377">
        <v>67</v>
      </c>
      <c r="J44" s="377"/>
      <c r="K44" s="377"/>
      <c r="L44" s="377"/>
      <c r="M44" s="377"/>
      <c r="O44" s="377"/>
      <c r="P44" s="377"/>
      <c r="T44" s="378"/>
    </row>
    <row r="45" spans="1:20" s="376" customFormat="1" ht="15.6" x14ac:dyDescent="0.3">
      <c r="A45" s="927"/>
      <c r="C45" s="377"/>
      <c r="D45" s="377"/>
      <c r="E45" s="377"/>
      <c r="F45" s="377"/>
      <c r="G45" s="377"/>
      <c r="H45" s="377"/>
      <c r="I45" s="377"/>
      <c r="J45" s="377"/>
      <c r="K45" s="377"/>
      <c r="L45" s="377"/>
      <c r="M45" s="377"/>
      <c r="N45" s="376" t="s">
        <v>1303</v>
      </c>
      <c r="O45" s="377"/>
      <c r="P45" s="377"/>
      <c r="T45" s="378"/>
    </row>
    <row r="46" spans="1:20" s="376" customFormat="1" ht="15.6" x14ac:dyDescent="0.3">
      <c r="A46" s="927"/>
      <c r="C46" s="377"/>
      <c r="D46" s="377"/>
      <c r="E46" s="377"/>
      <c r="F46" s="377"/>
      <c r="G46" s="377"/>
      <c r="H46" s="377"/>
      <c r="I46" s="377" t="s">
        <v>1301</v>
      </c>
      <c r="J46" s="377"/>
      <c r="K46" s="377" t="s">
        <v>1302</v>
      </c>
      <c r="L46" s="377"/>
      <c r="M46" s="377"/>
      <c r="N46" s="376" t="s">
        <v>1304</v>
      </c>
      <c r="O46" s="377"/>
      <c r="P46" s="377"/>
      <c r="T46" s="378"/>
    </row>
    <row r="47" spans="1:20" s="376" customFormat="1" ht="15.6" x14ac:dyDescent="0.3">
      <c r="A47" s="927"/>
      <c r="B47" s="376" t="s">
        <v>1300</v>
      </c>
      <c r="C47" s="377"/>
      <c r="D47" s="377"/>
      <c r="E47" s="377"/>
      <c r="F47" s="377"/>
      <c r="G47" s="377"/>
      <c r="H47" s="377">
        <v>12414</v>
      </c>
      <c r="I47" s="377">
        <v>85</v>
      </c>
      <c r="J47" s="377"/>
      <c r="K47" s="686">
        <f>+I47*H47</f>
        <v>1055190</v>
      </c>
      <c r="L47" s="686"/>
      <c r="M47" s="686"/>
      <c r="O47" s="377"/>
      <c r="P47" s="377"/>
      <c r="T47" s="378"/>
    </row>
    <row r="48" spans="1:20" s="376" customFormat="1" ht="15.6" x14ac:dyDescent="0.3">
      <c r="A48" s="927"/>
      <c r="C48" s="377"/>
      <c r="D48" s="377"/>
      <c r="E48" s="377"/>
      <c r="F48" s="377"/>
      <c r="G48" s="377"/>
      <c r="H48" s="377">
        <v>12500</v>
      </c>
      <c r="I48" s="377">
        <v>109</v>
      </c>
      <c r="J48" s="377"/>
      <c r="K48" s="686">
        <f t="shared" ref="K48:K50" si="7">+I48*H48</f>
        <v>1362500</v>
      </c>
      <c r="L48" s="686"/>
      <c r="M48" s="686"/>
      <c r="N48" s="687">
        <f>+K48-K47</f>
        <v>307310</v>
      </c>
      <c r="O48" s="377"/>
      <c r="P48" s="377"/>
      <c r="T48" s="378"/>
    </row>
    <row r="49" spans="1:20" s="376" customFormat="1" ht="15.6" x14ac:dyDescent="0.3">
      <c r="A49" s="927"/>
      <c r="C49" s="377"/>
      <c r="D49" s="377"/>
      <c r="E49" s="377"/>
      <c r="F49" s="377"/>
      <c r="G49" s="377"/>
      <c r="H49" s="377">
        <v>12600</v>
      </c>
      <c r="I49" s="377">
        <v>112</v>
      </c>
      <c r="J49" s="377"/>
      <c r="K49" s="686">
        <f t="shared" si="7"/>
        <v>1411200</v>
      </c>
      <c r="L49" s="686"/>
      <c r="M49" s="686"/>
      <c r="N49" s="687">
        <f t="shared" ref="N49:N50" si="8">+K49-K48</f>
        <v>48700</v>
      </c>
      <c r="O49" s="377"/>
      <c r="P49" s="377"/>
      <c r="T49" s="378"/>
    </row>
    <row r="50" spans="1:20" s="376" customFormat="1" ht="15.6" x14ac:dyDescent="0.3">
      <c r="A50" s="927"/>
      <c r="C50" s="377"/>
      <c r="D50" s="377"/>
      <c r="E50" s="377"/>
      <c r="F50" s="377"/>
      <c r="G50" s="377"/>
      <c r="H50" s="377">
        <v>12700</v>
      </c>
      <c r="I50" s="377">
        <v>115</v>
      </c>
      <c r="J50" s="377"/>
      <c r="K50" s="686">
        <f t="shared" si="7"/>
        <v>1460500</v>
      </c>
      <c r="L50" s="686"/>
      <c r="M50" s="686"/>
      <c r="N50" s="687">
        <f t="shared" si="8"/>
        <v>49300</v>
      </c>
      <c r="O50" s="377"/>
      <c r="P50" s="377"/>
      <c r="T50" s="378"/>
    </row>
    <row r="51" spans="1:20" s="376" customFormat="1" ht="15.6" x14ac:dyDescent="0.3">
      <c r="A51" s="928"/>
      <c r="B51" s="596"/>
      <c r="C51" s="608"/>
      <c r="D51" s="608"/>
      <c r="E51" s="608"/>
      <c r="F51" s="608"/>
      <c r="G51" s="608"/>
      <c r="H51" s="608"/>
      <c r="I51" s="608"/>
      <c r="J51" s="608"/>
      <c r="K51" s="608"/>
      <c r="L51" s="608"/>
      <c r="M51" s="608"/>
      <c r="N51" s="596"/>
      <c r="O51" s="608"/>
      <c r="P51" s="608"/>
      <c r="Q51" s="596"/>
      <c r="R51" s="596"/>
      <c r="S51" s="596"/>
      <c r="T51" s="378"/>
    </row>
    <row r="52" spans="1:20" s="376" customFormat="1" ht="15.6" x14ac:dyDescent="0.3">
      <c r="A52" s="928"/>
      <c r="B52" s="596"/>
      <c r="C52" s="608"/>
      <c r="D52" s="608"/>
      <c r="E52" s="608"/>
      <c r="F52" s="608"/>
      <c r="G52" s="608"/>
      <c r="H52" s="608"/>
      <c r="I52" s="608"/>
      <c r="J52" s="608"/>
      <c r="K52" s="608"/>
      <c r="L52" s="608"/>
      <c r="M52" s="608"/>
      <c r="N52" s="596"/>
      <c r="O52" s="608"/>
      <c r="P52" s="608"/>
      <c r="Q52" s="596"/>
      <c r="R52" s="596"/>
      <c r="S52" s="596"/>
      <c r="T52" s="378"/>
    </row>
    <row r="53" spans="1:20" s="376" customFormat="1" ht="15.6" x14ac:dyDescent="0.3">
      <c r="A53" s="928"/>
      <c r="B53" s="596"/>
      <c r="C53" s="608"/>
      <c r="D53" s="608"/>
      <c r="E53" s="608"/>
      <c r="F53" s="608"/>
      <c r="G53" s="608"/>
      <c r="H53" s="608"/>
      <c r="I53" s="608"/>
      <c r="J53" s="608"/>
      <c r="K53" s="608"/>
      <c r="L53" s="608"/>
      <c r="M53" s="608"/>
      <c r="N53" s="596"/>
      <c r="O53" s="608"/>
      <c r="P53" s="608"/>
      <c r="Q53" s="596"/>
      <c r="R53" s="596"/>
      <c r="S53" s="596"/>
      <c r="T53" s="378"/>
    </row>
    <row r="54" spans="1:20" s="376" customFormat="1" ht="15.6" x14ac:dyDescent="0.3">
      <c r="A54" s="928"/>
      <c r="B54" s="596"/>
      <c r="C54" s="608"/>
      <c r="D54" s="608"/>
      <c r="E54" s="608"/>
      <c r="F54" s="608"/>
      <c r="G54" s="608"/>
      <c r="H54" s="608"/>
      <c r="I54" s="608"/>
      <c r="J54" s="608"/>
      <c r="K54" s="608"/>
      <c r="L54" s="608"/>
      <c r="M54" s="608"/>
      <c r="N54" s="596"/>
      <c r="O54" s="608"/>
      <c r="P54" s="608"/>
      <c r="Q54" s="596"/>
      <c r="R54" s="596"/>
      <c r="S54" s="596"/>
      <c r="T54" s="378"/>
    </row>
    <row r="55" spans="1:20" s="376" customFormat="1" ht="15.6" x14ac:dyDescent="0.3">
      <c r="A55" s="928"/>
      <c r="B55" s="596"/>
      <c r="C55" s="608"/>
      <c r="D55" s="608"/>
      <c r="E55" s="608"/>
      <c r="F55" s="608"/>
      <c r="G55" s="608"/>
      <c r="H55" s="608"/>
      <c r="I55" s="608"/>
      <c r="J55" s="608"/>
      <c r="K55" s="608"/>
      <c r="L55" s="608"/>
      <c r="M55" s="608"/>
      <c r="N55" s="596"/>
      <c r="O55" s="608"/>
      <c r="P55" s="608"/>
      <c r="Q55" s="596"/>
      <c r="R55" s="596"/>
      <c r="S55" s="596"/>
      <c r="T55" s="378"/>
    </row>
    <row r="56" spans="1:20" s="376" customFormat="1" ht="15.6" x14ac:dyDescent="0.3">
      <c r="A56" s="928"/>
      <c r="B56" s="596"/>
      <c r="C56" s="608"/>
      <c r="D56" s="608"/>
      <c r="E56" s="608"/>
      <c r="F56" s="608"/>
      <c r="G56" s="608"/>
      <c r="H56" s="608"/>
      <c r="I56" s="608"/>
      <c r="J56" s="608"/>
      <c r="K56" s="608"/>
      <c r="L56" s="608"/>
      <c r="M56" s="608"/>
      <c r="N56" s="596"/>
      <c r="O56" s="608"/>
      <c r="P56" s="608"/>
      <c r="Q56" s="596"/>
      <c r="R56" s="596"/>
      <c r="S56" s="596"/>
      <c r="T56" s="378"/>
    </row>
    <row r="57" spans="1:20" s="376" customFormat="1" ht="15.6" x14ac:dyDescent="0.3">
      <c r="A57" s="928"/>
      <c r="B57" s="596"/>
      <c r="C57" s="608"/>
      <c r="D57" s="608"/>
      <c r="E57" s="608"/>
      <c r="F57" s="608"/>
      <c r="G57" s="608"/>
      <c r="H57" s="608"/>
      <c r="I57" s="608"/>
      <c r="J57" s="608"/>
      <c r="K57" s="608"/>
      <c r="L57" s="608"/>
      <c r="M57" s="608"/>
      <c r="N57" s="596"/>
      <c r="O57" s="608"/>
      <c r="P57" s="608"/>
      <c r="Q57" s="596"/>
      <c r="R57" s="596"/>
      <c r="S57" s="596"/>
      <c r="T57" s="378"/>
    </row>
    <row r="58" spans="1:20" s="376" customFormat="1" ht="15.6" x14ac:dyDescent="0.3">
      <c r="A58" s="928"/>
      <c r="B58" s="596"/>
      <c r="C58" s="608"/>
      <c r="D58" s="608"/>
      <c r="E58" s="608"/>
      <c r="F58" s="608"/>
      <c r="G58" s="608"/>
      <c r="H58" s="608"/>
      <c r="I58" s="608"/>
      <c r="J58" s="608"/>
      <c r="K58" s="608"/>
      <c r="L58" s="608"/>
      <c r="M58" s="608"/>
      <c r="N58" s="596"/>
      <c r="O58" s="608"/>
      <c r="P58" s="608"/>
      <c r="Q58" s="596"/>
      <c r="R58" s="596"/>
      <c r="S58" s="596"/>
      <c r="T58" s="378"/>
    </row>
    <row r="59" spans="1:20" s="376" customFormat="1" ht="15.6" x14ac:dyDescent="0.3">
      <c r="A59" s="928"/>
      <c r="B59" s="596"/>
      <c r="C59" s="608"/>
      <c r="D59" s="608"/>
      <c r="E59" s="608"/>
      <c r="F59" s="608"/>
      <c r="G59" s="608"/>
      <c r="H59" s="608"/>
      <c r="I59" s="608"/>
      <c r="J59" s="608"/>
      <c r="K59" s="608"/>
      <c r="L59" s="608"/>
      <c r="M59" s="608"/>
      <c r="N59" s="596"/>
      <c r="O59" s="608"/>
      <c r="P59" s="608"/>
      <c r="Q59" s="596"/>
      <c r="R59" s="596"/>
      <c r="S59" s="596"/>
      <c r="T59" s="378"/>
    </row>
    <row r="60" spans="1:20" s="376" customFormat="1" ht="15.6" x14ac:dyDescent="0.3">
      <c r="A60" s="928"/>
      <c r="B60" s="596"/>
      <c r="C60" s="608"/>
      <c r="D60" s="608"/>
      <c r="E60" s="608"/>
      <c r="F60" s="608"/>
      <c r="G60" s="608"/>
      <c r="H60" s="608"/>
      <c r="I60" s="608"/>
      <c r="J60" s="608"/>
      <c r="K60" s="608"/>
      <c r="L60" s="608"/>
      <c r="M60" s="608"/>
      <c r="N60" s="596"/>
      <c r="O60" s="608"/>
      <c r="P60" s="608"/>
      <c r="Q60" s="596"/>
      <c r="R60" s="596"/>
      <c r="S60" s="596"/>
      <c r="T60" s="378"/>
    </row>
    <row r="61" spans="1:20" s="376" customFormat="1" ht="15.6" x14ac:dyDescent="0.3">
      <c r="A61" s="928"/>
      <c r="B61" s="596"/>
      <c r="C61" s="608"/>
      <c r="D61" s="608"/>
      <c r="E61" s="608"/>
      <c r="F61" s="608"/>
      <c r="G61" s="608"/>
      <c r="H61" s="608"/>
      <c r="I61" s="608"/>
      <c r="J61" s="608"/>
      <c r="K61" s="608"/>
      <c r="L61" s="608"/>
      <c r="M61" s="608"/>
      <c r="N61" s="596"/>
      <c r="O61" s="608"/>
      <c r="P61" s="608"/>
      <c r="Q61" s="596"/>
      <c r="R61" s="596"/>
      <c r="S61" s="596"/>
      <c r="T61" s="378"/>
    </row>
    <row r="62" spans="1:20" s="376" customFormat="1" ht="15.6" x14ac:dyDescent="0.3">
      <c r="A62" s="928"/>
      <c r="B62" s="596"/>
      <c r="C62" s="608"/>
      <c r="D62" s="608"/>
      <c r="E62" s="608"/>
      <c r="F62" s="608"/>
      <c r="G62" s="608"/>
      <c r="H62" s="608"/>
      <c r="I62" s="608"/>
      <c r="J62" s="608"/>
      <c r="K62" s="608"/>
      <c r="L62" s="608"/>
      <c r="M62" s="608"/>
      <c r="N62" s="596"/>
      <c r="O62" s="608"/>
      <c r="P62" s="608"/>
      <c r="Q62" s="596"/>
      <c r="R62" s="596"/>
      <c r="S62" s="596"/>
      <c r="T62" s="378"/>
    </row>
    <row r="63" spans="1:20" s="376" customFormat="1" ht="15.6" x14ac:dyDescent="0.3">
      <c r="A63" s="928"/>
      <c r="B63" s="596"/>
      <c r="C63" s="608"/>
      <c r="D63" s="608"/>
      <c r="E63" s="608"/>
      <c r="F63" s="608"/>
      <c r="G63" s="608"/>
      <c r="H63" s="608"/>
      <c r="I63" s="608"/>
      <c r="J63" s="608"/>
      <c r="K63" s="608"/>
      <c r="L63" s="608"/>
      <c r="M63" s="608"/>
      <c r="N63" s="596"/>
      <c r="O63" s="608"/>
      <c r="P63" s="608"/>
      <c r="Q63" s="596"/>
      <c r="R63" s="596"/>
      <c r="S63" s="596"/>
      <c r="T63" s="378"/>
    </row>
    <row r="64" spans="1:20" s="376" customFormat="1" ht="15.6" x14ac:dyDescent="0.3">
      <c r="A64" s="928"/>
      <c r="B64" s="596"/>
      <c r="C64" s="608"/>
      <c r="D64" s="608"/>
      <c r="E64" s="608"/>
      <c r="F64" s="608"/>
      <c r="G64" s="608"/>
      <c r="H64" s="608"/>
      <c r="I64" s="608"/>
      <c r="J64" s="608"/>
      <c r="K64" s="608"/>
      <c r="L64" s="608"/>
      <c r="M64" s="608"/>
      <c r="N64" s="596"/>
      <c r="O64" s="608"/>
      <c r="P64" s="608"/>
      <c r="Q64" s="596"/>
      <c r="R64" s="596"/>
      <c r="S64" s="596"/>
      <c r="T64" s="378"/>
    </row>
    <row r="65" spans="1:20" s="376" customFormat="1" ht="15.6" x14ac:dyDescent="0.3">
      <c r="A65" s="928"/>
      <c r="B65" s="596"/>
      <c r="C65" s="608"/>
      <c r="D65" s="608"/>
      <c r="E65" s="608"/>
      <c r="F65" s="608"/>
      <c r="G65" s="608"/>
      <c r="H65" s="608"/>
      <c r="I65" s="608"/>
      <c r="J65" s="608"/>
      <c r="K65" s="608"/>
      <c r="L65" s="608"/>
      <c r="M65" s="608"/>
      <c r="N65" s="596"/>
      <c r="O65" s="608"/>
      <c r="P65" s="608"/>
      <c r="Q65" s="596"/>
      <c r="R65" s="596"/>
      <c r="S65" s="596"/>
      <c r="T65" s="378"/>
    </row>
    <row r="66" spans="1:20" x14ac:dyDescent="0.25">
      <c r="A66" s="876"/>
      <c r="B66" s="4"/>
      <c r="C66" s="23"/>
      <c r="D66" s="23"/>
      <c r="E66" s="23"/>
      <c r="F66" s="23"/>
      <c r="G66" s="23"/>
      <c r="H66" s="23"/>
      <c r="I66" s="23"/>
      <c r="J66" s="23"/>
      <c r="K66" s="23"/>
      <c r="L66" s="23"/>
      <c r="M66" s="23"/>
      <c r="N66" s="4"/>
      <c r="O66" s="23"/>
      <c r="P66" s="23"/>
      <c r="Q66" s="4"/>
      <c r="R66" s="4"/>
      <c r="S66" s="4"/>
    </row>
    <row r="67" spans="1:20" x14ac:dyDescent="0.25">
      <c r="A67" s="876"/>
      <c r="B67" s="4"/>
      <c r="C67" s="23"/>
      <c r="D67" s="23"/>
      <c r="E67" s="23"/>
      <c r="F67" s="23"/>
      <c r="G67" s="23"/>
      <c r="H67" s="23"/>
      <c r="I67" s="23"/>
      <c r="J67" s="23"/>
      <c r="K67" s="23"/>
      <c r="L67" s="23"/>
      <c r="M67" s="23"/>
      <c r="N67" s="4"/>
      <c r="O67" s="23"/>
      <c r="P67" s="23"/>
      <c r="Q67" s="4"/>
      <c r="R67" s="4"/>
      <c r="S67" s="4"/>
    </row>
    <row r="68" spans="1:20" x14ac:dyDescent="0.25">
      <c r="A68" s="876"/>
      <c r="B68" s="4"/>
      <c r="C68" s="23"/>
      <c r="D68" s="23"/>
      <c r="E68" s="23"/>
      <c r="F68" s="23"/>
      <c r="G68" s="23"/>
      <c r="H68" s="23"/>
      <c r="I68" s="23"/>
      <c r="J68" s="23"/>
      <c r="K68" s="23"/>
      <c r="L68" s="23"/>
      <c r="M68" s="23"/>
      <c r="N68" s="4"/>
      <c r="O68" s="23"/>
      <c r="P68" s="23"/>
      <c r="Q68" s="4"/>
      <c r="R68" s="4"/>
      <c r="S68" s="4"/>
    </row>
    <row r="69" spans="1:20" x14ac:dyDescent="0.25">
      <c r="A69" s="876"/>
      <c r="B69" s="4"/>
      <c r="C69" s="23"/>
      <c r="D69" s="23"/>
      <c r="E69" s="23"/>
      <c r="F69" s="23"/>
      <c r="G69" s="23"/>
      <c r="H69" s="23"/>
      <c r="I69" s="23"/>
      <c r="J69" s="23"/>
      <c r="K69" s="23"/>
      <c r="L69" s="23"/>
      <c r="M69" s="23"/>
      <c r="N69" s="4"/>
      <c r="O69" s="23"/>
      <c r="P69" s="23"/>
      <c r="Q69" s="4"/>
      <c r="R69" s="4"/>
      <c r="S69" s="4"/>
    </row>
    <row r="70" spans="1:20" x14ac:dyDescent="0.25">
      <c r="A70" s="876"/>
      <c r="B70" s="4"/>
      <c r="C70" s="23"/>
      <c r="D70" s="23"/>
      <c r="E70" s="23"/>
      <c r="F70" s="23"/>
      <c r="G70" s="23"/>
      <c r="H70" s="23"/>
      <c r="I70" s="23"/>
      <c r="J70" s="23"/>
      <c r="K70" s="23"/>
      <c r="L70" s="23"/>
      <c r="M70" s="23"/>
      <c r="N70" s="4"/>
      <c r="O70" s="23"/>
      <c r="P70" s="23"/>
      <c r="Q70" s="4"/>
      <c r="R70" s="4"/>
      <c r="S70" s="4"/>
    </row>
    <row r="71" spans="1:20" x14ac:dyDescent="0.25">
      <c r="A71" s="876"/>
      <c r="B71" s="4"/>
      <c r="C71" s="23"/>
      <c r="D71" s="23"/>
      <c r="E71" s="23"/>
      <c r="F71" s="23"/>
      <c r="G71" s="23"/>
      <c r="H71" s="23"/>
      <c r="I71" s="23"/>
      <c r="J71" s="23"/>
      <c r="K71" s="23"/>
      <c r="L71" s="23"/>
      <c r="M71" s="23"/>
      <c r="N71" s="4"/>
      <c r="O71" s="23"/>
      <c r="P71" s="23"/>
      <c r="Q71" s="4"/>
      <c r="R71" s="4"/>
      <c r="S71" s="4"/>
    </row>
    <row r="72" spans="1:20" x14ac:dyDescent="0.25">
      <c r="A72" s="876"/>
      <c r="B72" s="4"/>
      <c r="C72" s="23"/>
      <c r="D72" s="23"/>
      <c r="E72" s="23"/>
      <c r="F72" s="23"/>
      <c r="G72" s="23"/>
      <c r="H72" s="23"/>
      <c r="I72" s="23"/>
      <c r="J72" s="23"/>
      <c r="K72" s="23"/>
      <c r="L72" s="23"/>
      <c r="M72" s="23"/>
      <c r="N72" s="4"/>
      <c r="O72" s="23"/>
      <c r="P72" s="23"/>
      <c r="Q72" s="4"/>
      <c r="R72" s="4"/>
      <c r="S72" s="4"/>
    </row>
    <row r="73" spans="1:20" x14ac:dyDescent="0.25">
      <c r="A73" s="876"/>
      <c r="B73" s="4"/>
      <c r="C73" s="23"/>
      <c r="D73" s="23"/>
      <c r="E73" s="23"/>
      <c r="F73" s="23"/>
      <c r="G73" s="23"/>
      <c r="H73" s="23"/>
      <c r="I73" s="23"/>
      <c r="J73" s="23"/>
      <c r="K73" s="23"/>
      <c r="L73" s="23"/>
      <c r="M73" s="23"/>
      <c r="N73" s="4"/>
      <c r="O73" s="23"/>
      <c r="P73" s="23"/>
      <c r="Q73" s="4"/>
      <c r="R73" s="4"/>
      <c r="S73" s="4"/>
    </row>
    <row r="74" spans="1:20" x14ac:dyDescent="0.25">
      <c r="A74" s="876"/>
      <c r="B74" s="4"/>
      <c r="C74" s="23"/>
      <c r="D74" s="23"/>
      <c r="E74" s="23"/>
      <c r="F74" s="23"/>
      <c r="G74" s="23"/>
      <c r="H74" s="23"/>
      <c r="I74" s="23"/>
      <c r="J74" s="23"/>
      <c r="K74" s="23"/>
      <c r="L74" s="23"/>
      <c r="M74" s="23"/>
      <c r="N74" s="4"/>
      <c r="O74" s="23"/>
      <c r="P74" s="23"/>
      <c r="Q74" s="4"/>
      <c r="R74" s="4"/>
      <c r="S74" s="4"/>
    </row>
    <row r="75" spans="1:20" x14ac:dyDescent="0.25">
      <c r="A75" s="876"/>
      <c r="B75" s="4"/>
      <c r="C75" s="23"/>
      <c r="D75" s="23"/>
      <c r="E75" s="23"/>
      <c r="F75" s="23"/>
      <c r="G75" s="23"/>
      <c r="H75" s="23"/>
      <c r="I75" s="23"/>
      <c r="J75" s="23"/>
      <c r="K75" s="23"/>
      <c r="L75" s="23"/>
      <c r="M75" s="23"/>
      <c r="N75" s="4"/>
      <c r="O75" s="23"/>
      <c r="P75" s="23"/>
      <c r="Q75" s="4"/>
      <c r="R75" s="4"/>
      <c r="S75" s="4"/>
    </row>
    <row r="76" spans="1:20" x14ac:dyDescent="0.25">
      <c r="A76" s="876"/>
      <c r="B76" s="4"/>
      <c r="C76" s="23"/>
      <c r="D76" s="23"/>
      <c r="E76" s="23"/>
      <c r="F76" s="23"/>
      <c r="G76" s="23"/>
      <c r="H76" s="23"/>
      <c r="I76" s="23"/>
      <c r="J76" s="23"/>
      <c r="K76" s="23"/>
      <c r="L76" s="23"/>
      <c r="M76" s="23"/>
      <c r="N76" s="4"/>
      <c r="O76" s="23"/>
      <c r="P76" s="23"/>
      <c r="Q76" s="4"/>
      <c r="R76" s="4"/>
      <c r="S76" s="4"/>
    </row>
    <row r="77" spans="1:20" x14ac:dyDescent="0.25">
      <c r="A77" s="876"/>
      <c r="B77" s="4"/>
      <c r="C77" s="23"/>
      <c r="D77" s="23"/>
      <c r="E77" s="23"/>
      <c r="F77" s="23"/>
      <c r="G77" s="23"/>
      <c r="H77" s="23"/>
      <c r="I77" s="23"/>
      <c r="J77" s="23"/>
      <c r="K77" s="23"/>
      <c r="L77" s="23"/>
      <c r="M77" s="23"/>
      <c r="N77" s="4"/>
      <c r="O77" s="23"/>
      <c r="P77" s="23"/>
      <c r="Q77" s="4"/>
      <c r="R77" s="4"/>
      <c r="S77" s="4"/>
    </row>
    <row r="78" spans="1:20" x14ac:dyDescent="0.25">
      <c r="A78" s="876"/>
      <c r="B78" s="4"/>
      <c r="C78" s="23"/>
      <c r="D78" s="23"/>
      <c r="E78" s="23"/>
      <c r="F78" s="23"/>
      <c r="G78" s="23"/>
      <c r="H78" s="23"/>
      <c r="I78" s="23"/>
      <c r="J78" s="23"/>
      <c r="K78" s="23"/>
      <c r="L78" s="23"/>
      <c r="M78" s="23"/>
      <c r="N78" s="4"/>
      <c r="O78" s="23"/>
      <c r="P78" s="23"/>
      <c r="Q78" s="4"/>
      <c r="R78" s="4"/>
      <c r="S78" s="4"/>
    </row>
    <row r="79" spans="1:20" x14ac:dyDescent="0.25">
      <c r="A79" s="876"/>
      <c r="B79" s="4"/>
      <c r="C79" s="23"/>
      <c r="D79" s="23"/>
      <c r="E79" s="23"/>
      <c r="F79" s="23"/>
      <c r="G79" s="23"/>
      <c r="H79" s="23"/>
      <c r="I79" s="23"/>
      <c r="J79" s="23"/>
      <c r="K79" s="23"/>
      <c r="L79" s="23"/>
      <c r="M79" s="23"/>
      <c r="N79" s="4"/>
      <c r="O79" s="23"/>
      <c r="P79" s="23"/>
      <c r="Q79" s="4"/>
      <c r="R79" s="4"/>
      <c r="S79" s="4"/>
    </row>
    <row r="80" spans="1:20" x14ac:dyDescent="0.25">
      <c r="A80" s="876"/>
      <c r="B80" s="4"/>
      <c r="C80" s="23"/>
      <c r="D80" s="23"/>
      <c r="E80" s="23"/>
      <c r="F80" s="23"/>
      <c r="G80" s="23"/>
      <c r="H80" s="23"/>
      <c r="I80" s="23"/>
      <c r="J80" s="23"/>
      <c r="K80" s="23"/>
      <c r="L80" s="23"/>
      <c r="M80" s="23"/>
      <c r="N80" s="4"/>
      <c r="O80" s="23"/>
      <c r="P80" s="23"/>
      <c r="Q80" s="4"/>
      <c r="R80" s="4"/>
      <c r="S80" s="4"/>
    </row>
    <row r="81" spans="1:19" x14ac:dyDescent="0.25">
      <c r="A81" s="876"/>
      <c r="B81" s="4"/>
      <c r="C81" s="23"/>
      <c r="D81" s="23"/>
      <c r="E81" s="23"/>
      <c r="F81" s="23"/>
      <c r="G81" s="23"/>
      <c r="H81" s="23"/>
      <c r="I81" s="23"/>
      <c r="J81" s="23"/>
      <c r="K81" s="23"/>
      <c r="L81" s="23"/>
      <c r="M81" s="23"/>
      <c r="N81" s="4"/>
      <c r="O81" s="23"/>
      <c r="P81" s="23"/>
      <c r="Q81" s="4"/>
      <c r="R81" s="4"/>
      <c r="S81" s="4"/>
    </row>
    <row r="82" spans="1:19" x14ac:dyDescent="0.25">
      <c r="A82" s="876"/>
      <c r="B82" s="4"/>
      <c r="C82" s="23"/>
      <c r="D82" s="23"/>
      <c r="E82" s="23"/>
      <c r="F82" s="23"/>
      <c r="G82" s="23"/>
      <c r="H82" s="23"/>
      <c r="I82" s="23"/>
      <c r="J82" s="23"/>
      <c r="K82" s="23"/>
      <c r="L82" s="23"/>
      <c r="M82" s="23"/>
      <c r="N82" s="4"/>
      <c r="O82" s="23"/>
      <c r="P82" s="23"/>
      <c r="Q82" s="4"/>
      <c r="R82" s="4"/>
      <c r="S82" s="4"/>
    </row>
    <row r="83" spans="1:19" x14ac:dyDescent="0.25">
      <c r="A83" s="876"/>
      <c r="B83" s="4"/>
      <c r="C83" s="23"/>
      <c r="D83" s="23"/>
      <c r="E83" s="23"/>
      <c r="F83" s="23"/>
      <c r="G83" s="23"/>
      <c r="H83" s="23"/>
      <c r="I83" s="23"/>
      <c r="J83" s="23"/>
      <c r="K83" s="23"/>
      <c r="L83" s="23"/>
      <c r="M83" s="23"/>
      <c r="N83" s="4"/>
      <c r="O83" s="23"/>
      <c r="P83" s="23"/>
      <c r="Q83" s="4"/>
      <c r="R83" s="4"/>
      <c r="S83" s="4"/>
    </row>
    <row r="84" spans="1:19" x14ac:dyDescent="0.25">
      <c r="A84" s="876"/>
      <c r="B84" s="4"/>
      <c r="C84" s="23"/>
      <c r="D84" s="23"/>
      <c r="E84" s="23"/>
      <c r="F84" s="23"/>
      <c r="G84" s="23"/>
      <c r="H84" s="23"/>
      <c r="I84" s="23"/>
      <c r="J84" s="23"/>
      <c r="K84" s="23"/>
      <c r="L84" s="23"/>
      <c r="M84" s="23"/>
      <c r="N84" s="4"/>
      <c r="O84" s="23"/>
      <c r="P84" s="23"/>
      <c r="Q84" s="4"/>
      <c r="R84" s="4"/>
      <c r="S84" s="4"/>
    </row>
    <row r="85" spans="1:19" x14ac:dyDescent="0.25">
      <c r="A85" s="876"/>
      <c r="B85" s="4"/>
      <c r="C85" s="23"/>
      <c r="D85" s="23"/>
      <c r="E85" s="23"/>
      <c r="F85" s="23"/>
      <c r="G85" s="23"/>
      <c r="H85" s="23"/>
      <c r="I85" s="23"/>
      <c r="J85" s="23"/>
      <c r="K85" s="23"/>
      <c r="L85" s="23"/>
      <c r="M85" s="23"/>
      <c r="N85" s="4"/>
      <c r="O85" s="23"/>
      <c r="P85" s="23"/>
      <c r="Q85" s="4"/>
      <c r="R85" s="4"/>
      <c r="S85" s="4"/>
    </row>
    <row r="86" spans="1:19" x14ac:dyDescent="0.25">
      <c r="A86" s="876"/>
      <c r="B86" s="4"/>
      <c r="C86" s="23"/>
      <c r="D86" s="23"/>
      <c r="E86" s="23"/>
      <c r="F86" s="23"/>
      <c r="G86" s="23"/>
      <c r="H86" s="23"/>
      <c r="I86" s="23"/>
      <c r="J86" s="23"/>
      <c r="K86" s="23"/>
      <c r="L86" s="23"/>
      <c r="M86" s="23"/>
      <c r="N86" s="4"/>
      <c r="O86" s="23"/>
      <c r="P86" s="23"/>
      <c r="Q86" s="4"/>
      <c r="R86" s="4"/>
      <c r="S86" s="4"/>
    </row>
    <row r="87" spans="1:19" x14ac:dyDescent="0.25">
      <c r="A87" s="876"/>
      <c r="B87" s="4"/>
      <c r="C87" s="23"/>
      <c r="D87" s="23"/>
      <c r="E87" s="23"/>
      <c r="F87" s="23"/>
      <c r="G87" s="23"/>
      <c r="H87" s="23"/>
      <c r="I87" s="23"/>
      <c r="J87" s="23"/>
      <c r="K87" s="23"/>
      <c r="L87" s="23"/>
      <c r="M87" s="23"/>
      <c r="N87" s="4"/>
      <c r="O87" s="23"/>
      <c r="P87" s="23"/>
      <c r="Q87" s="4"/>
      <c r="R87" s="4"/>
      <c r="S87" s="4"/>
    </row>
    <row r="88" spans="1:19" x14ac:dyDescent="0.25">
      <c r="A88" s="876"/>
      <c r="B88" s="4"/>
      <c r="C88" s="23"/>
      <c r="D88" s="23"/>
      <c r="E88" s="23"/>
      <c r="F88" s="23"/>
      <c r="G88" s="23"/>
      <c r="H88" s="23"/>
      <c r="I88" s="23"/>
      <c r="J88" s="23"/>
      <c r="K88" s="23"/>
      <c r="L88" s="23"/>
      <c r="M88" s="23"/>
      <c r="N88" s="4"/>
      <c r="O88" s="23"/>
      <c r="P88" s="23"/>
      <c r="Q88" s="4"/>
      <c r="R88" s="4"/>
      <c r="S88" s="4"/>
    </row>
    <row r="89" spans="1:19" x14ac:dyDescent="0.25">
      <c r="A89" s="876"/>
      <c r="B89" s="4"/>
      <c r="C89" s="23"/>
      <c r="D89" s="23"/>
      <c r="E89" s="23"/>
      <c r="F89" s="23"/>
      <c r="G89" s="23"/>
      <c r="H89" s="23"/>
      <c r="I89" s="23"/>
      <c r="J89" s="23"/>
      <c r="K89" s="23"/>
      <c r="L89" s="23"/>
      <c r="M89" s="23"/>
      <c r="N89" s="4"/>
      <c r="O89" s="23"/>
      <c r="P89" s="23"/>
      <c r="Q89" s="4"/>
      <c r="R89" s="4"/>
      <c r="S89" s="4"/>
    </row>
    <row r="90" spans="1:19" x14ac:dyDescent="0.25">
      <c r="A90" s="876"/>
      <c r="B90" s="4"/>
      <c r="C90" s="23"/>
      <c r="D90" s="23"/>
      <c r="E90" s="23"/>
      <c r="F90" s="23"/>
      <c r="G90" s="23"/>
      <c r="H90" s="23"/>
      <c r="I90" s="23"/>
      <c r="J90" s="23"/>
      <c r="K90" s="23"/>
      <c r="L90" s="23"/>
      <c r="M90" s="23"/>
      <c r="N90" s="4"/>
      <c r="O90" s="23"/>
      <c r="P90" s="23"/>
      <c r="Q90" s="4"/>
      <c r="R90" s="4"/>
      <c r="S90" s="4"/>
    </row>
    <row r="91" spans="1:19" x14ac:dyDescent="0.25">
      <c r="A91" s="876"/>
      <c r="B91" s="4"/>
      <c r="C91" s="23"/>
      <c r="D91" s="23"/>
      <c r="E91" s="23"/>
      <c r="F91" s="23"/>
      <c r="G91" s="23"/>
      <c r="H91" s="23"/>
      <c r="I91" s="23"/>
      <c r="J91" s="23"/>
      <c r="K91" s="23"/>
      <c r="L91" s="23"/>
      <c r="M91" s="23"/>
      <c r="N91" s="4"/>
      <c r="O91" s="23"/>
      <c r="P91" s="23"/>
      <c r="Q91" s="4"/>
      <c r="R91" s="4"/>
      <c r="S91" s="4"/>
    </row>
    <row r="92" spans="1:19" x14ac:dyDescent="0.25">
      <c r="A92" s="876"/>
      <c r="B92" s="4"/>
      <c r="C92" s="23"/>
      <c r="D92" s="23"/>
      <c r="E92" s="23"/>
      <c r="F92" s="23"/>
      <c r="G92" s="23"/>
      <c r="H92" s="23"/>
      <c r="I92" s="23"/>
      <c r="J92" s="23"/>
      <c r="K92" s="23"/>
      <c r="L92" s="23"/>
      <c r="M92" s="23"/>
      <c r="N92" s="4"/>
      <c r="O92" s="23"/>
      <c r="P92" s="23"/>
      <c r="Q92" s="4"/>
      <c r="R92" s="4"/>
      <c r="S92" s="4"/>
    </row>
    <row r="93" spans="1:19" x14ac:dyDescent="0.25">
      <c r="A93" s="876"/>
      <c r="B93" s="4"/>
      <c r="C93" s="23"/>
      <c r="D93" s="23"/>
      <c r="E93" s="23"/>
      <c r="F93" s="23"/>
      <c r="G93" s="23"/>
      <c r="H93" s="23"/>
      <c r="I93" s="23"/>
      <c r="J93" s="23"/>
      <c r="K93" s="23"/>
      <c r="L93" s="23"/>
      <c r="M93" s="23"/>
      <c r="N93" s="4"/>
      <c r="O93" s="23"/>
      <c r="P93" s="23"/>
      <c r="Q93" s="4"/>
      <c r="R93" s="4"/>
      <c r="S93" s="4"/>
    </row>
    <row r="94" spans="1:19" x14ac:dyDescent="0.25">
      <c r="A94" s="876"/>
      <c r="B94" s="4"/>
      <c r="C94" s="23"/>
      <c r="D94" s="23"/>
      <c r="E94" s="23"/>
      <c r="F94" s="23"/>
      <c r="G94" s="23"/>
      <c r="H94" s="23"/>
      <c r="I94" s="23"/>
      <c r="J94" s="23"/>
      <c r="K94" s="23"/>
      <c r="L94" s="23"/>
      <c r="M94" s="23"/>
      <c r="N94" s="4"/>
      <c r="O94" s="23"/>
      <c r="P94" s="23"/>
      <c r="Q94" s="4"/>
      <c r="R94" s="4"/>
      <c r="S94" s="4"/>
    </row>
    <row r="95" spans="1:19" x14ac:dyDescent="0.25">
      <c r="A95" s="876"/>
      <c r="B95" s="4"/>
      <c r="C95" s="23"/>
      <c r="D95" s="23"/>
      <c r="E95" s="23"/>
      <c r="F95" s="23"/>
      <c r="G95" s="23"/>
      <c r="H95" s="23"/>
      <c r="I95" s="23"/>
      <c r="J95" s="23"/>
      <c r="K95" s="23"/>
      <c r="L95" s="23"/>
      <c r="M95" s="23"/>
      <c r="N95" s="4"/>
      <c r="O95" s="23"/>
      <c r="P95" s="23"/>
      <c r="Q95" s="4"/>
      <c r="R95" s="4"/>
      <c r="S95" s="4"/>
    </row>
    <row r="96" spans="1:19" x14ac:dyDescent="0.25">
      <c r="A96" s="876"/>
      <c r="B96" s="4"/>
      <c r="C96" s="23"/>
      <c r="D96" s="23"/>
      <c r="E96" s="23"/>
      <c r="F96" s="23"/>
      <c r="G96" s="23"/>
      <c r="H96" s="23"/>
      <c r="I96" s="23"/>
      <c r="J96" s="23"/>
      <c r="K96" s="23"/>
      <c r="L96" s="23"/>
      <c r="M96" s="23"/>
      <c r="N96" s="4"/>
      <c r="O96" s="23"/>
      <c r="P96" s="23"/>
      <c r="Q96" s="4"/>
      <c r="R96" s="4"/>
      <c r="S96" s="4"/>
    </row>
    <row r="97" spans="1:19" x14ac:dyDescent="0.25">
      <c r="A97" s="876"/>
      <c r="B97" s="4"/>
      <c r="C97" s="23"/>
      <c r="D97" s="23"/>
      <c r="E97" s="23"/>
      <c r="F97" s="23"/>
      <c r="G97" s="23"/>
      <c r="H97" s="23"/>
      <c r="I97" s="23"/>
      <c r="J97" s="23"/>
      <c r="K97" s="23"/>
      <c r="L97" s="23"/>
      <c r="M97" s="23"/>
      <c r="N97" s="4"/>
      <c r="O97" s="23"/>
      <c r="P97" s="23"/>
      <c r="Q97" s="4"/>
      <c r="R97" s="4"/>
      <c r="S97" s="4"/>
    </row>
    <row r="98" spans="1:19" x14ac:dyDescent="0.25">
      <c r="A98" s="876"/>
      <c r="B98" s="4"/>
      <c r="C98" s="23"/>
      <c r="D98" s="23"/>
      <c r="E98" s="23"/>
      <c r="F98" s="23"/>
      <c r="G98" s="23"/>
      <c r="H98" s="23"/>
      <c r="I98" s="23"/>
      <c r="J98" s="23"/>
      <c r="K98" s="23"/>
      <c r="L98" s="23"/>
      <c r="M98" s="23"/>
      <c r="N98" s="4"/>
      <c r="O98" s="23"/>
      <c r="P98" s="23"/>
      <c r="Q98" s="4"/>
      <c r="R98" s="4"/>
      <c r="S98" s="4"/>
    </row>
    <row r="99" spans="1:19" x14ac:dyDescent="0.25">
      <c r="A99" s="876"/>
      <c r="B99" s="4"/>
      <c r="C99" s="23"/>
      <c r="D99" s="23"/>
      <c r="E99" s="23"/>
      <c r="F99" s="23"/>
      <c r="G99" s="23"/>
      <c r="H99" s="23"/>
      <c r="I99" s="23"/>
      <c r="J99" s="23"/>
      <c r="K99" s="23"/>
      <c r="L99" s="23"/>
      <c r="M99" s="23"/>
      <c r="N99" s="4"/>
      <c r="O99" s="23"/>
      <c r="P99" s="23"/>
      <c r="Q99" s="4"/>
      <c r="R99" s="4"/>
      <c r="S99" s="4"/>
    </row>
    <row r="100" spans="1:19" x14ac:dyDescent="0.25">
      <c r="A100" s="876"/>
      <c r="B100" s="4"/>
      <c r="C100" s="23"/>
      <c r="D100" s="23"/>
      <c r="E100" s="23"/>
      <c r="F100" s="23"/>
      <c r="G100" s="23"/>
      <c r="H100" s="23"/>
      <c r="I100" s="23"/>
      <c r="J100" s="23"/>
      <c r="K100" s="23"/>
      <c r="L100" s="23"/>
      <c r="M100" s="23"/>
      <c r="N100" s="4"/>
      <c r="O100" s="23"/>
      <c r="P100" s="23"/>
      <c r="Q100" s="4"/>
      <c r="R100" s="4"/>
      <c r="S100" s="4"/>
    </row>
    <row r="101" spans="1:19" x14ac:dyDescent="0.25">
      <c r="A101" s="876"/>
      <c r="B101" s="4"/>
      <c r="C101" s="23"/>
      <c r="D101" s="23"/>
      <c r="E101" s="23"/>
      <c r="F101" s="23"/>
      <c r="G101" s="23"/>
      <c r="H101" s="23"/>
      <c r="I101" s="23"/>
      <c r="J101" s="23"/>
      <c r="K101" s="23"/>
      <c r="L101" s="23"/>
      <c r="M101" s="23"/>
      <c r="N101" s="4"/>
      <c r="O101" s="23"/>
      <c r="P101" s="23"/>
      <c r="Q101" s="4"/>
      <c r="R101" s="4"/>
      <c r="S101" s="4"/>
    </row>
    <row r="102" spans="1:19" x14ac:dyDescent="0.25">
      <c r="A102" s="876"/>
      <c r="B102" s="4"/>
      <c r="C102" s="23"/>
      <c r="D102" s="23"/>
      <c r="E102" s="23"/>
      <c r="F102" s="23"/>
      <c r="G102" s="23"/>
      <c r="H102" s="23"/>
      <c r="I102" s="23"/>
      <c r="J102" s="23"/>
      <c r="K102" s="23"/>
      <c r="L102" s="23"/>
      <c r="M102" s="23"/>
      <c r="N102" s="4"/>
      <c r="O102" s="23"/>
      <c r="P102" s="23"/>
      <c r="Q102" s="4"/>
      <c r="R102" s="4"/>
      <c r="S102" s="4"/>
    </row>
    <row r="103" spans="1:19" x14ac:dyDescent="0.25">
      <c r="A103" s="876"/>
      <c r="B103" s="4"/>
      <c r="C103" s="23"/>
      <c r="D103" s="23"/>
      <c r="E103" s="23"/>
      <c r="F103" s="23"/>
      <c r="G103" s="23"/>
      <c r="H103" s="23"/>
      <c r="I103" s="23"/>
      <c r="J103" s="23"/>
      <c r="K103" s="23"/>
      <c r="L103" s="23"/>
      <c r="M103" s="23"/>
      <c r="N103" s="4"/>
      <c r="O103" s="23"/>
      <c r="P103" s="23"/>
      <c r="Q103" s="4"/>
      <c r="R103" s="4"/>
      <c r="S103" s="4"/>
    </row>
    <row r="104" spans="1:19" x14ac:dyDescent="0.25">
      <c r="A104" s="876"/>
      <c r="B104" s="4"/>
      <c r="C104" s="23"/>
      <c r="D104" s="23"/>
      <c r="E104" s="23"/>
      <c r="F104" s="23"/>
      <c r="G104" s="23"/>
      <c r="H104" s="23"/>
      <c r="I104" s="23"/>
      <c r="J104" s="23"/>
      <c r="K104" s="23"/>
      <c r="L104" s="23"/>
      <c r="M104" s="23"/>
      <c r="N104" s="4"/>
      <c r="O104" s="23"/>
      <c r="P104" s="23"/>
      <c r="Q104" s="4"/>
      <c r="R104" s="4"/>
      <c r="S104" s="4"/>
    </row>
    <row r="105" spans="1:19" x14ac:dyDescent="0.25">
      <c r="A105" s="876"/>
      <c r="B105" s="4"/>
      <c r="C105" s="23"/>
      <c r="D105" s="23"/>
      <c r="E105" s="23"/>
      <c r="F105" s="23"/>
      <c r="G105" s="23"/>
      <c r="H105" s="23"/>
      <c r="I105" s="23"/>
      <c r="J105" s="23"/>
      <c r="K105" s="23"/>
      <c r="L105" s="23"/>
      <c r="M105" s="23"/>
      <c r="N105" s="4"/>
      <c r="O105" s="23"/>
      <c r="P105" s="23"/>
      <c r="Q105" s="4"/>
      <c r="R105" s="4"/>
      <c r="S105" s="4"/>
    </row>
    <row r="106" spans="1:19" x14ac:dyDescent="0.25">
      <c r="A106" s="876"/>
      <c r="B106" s="4"/>
      <c r="C106" s="23"/>
      <c r="D106" s="23"/>
      <c r="E106" s="23"/>
      <c r="F106" s="23"/>
      <c r="G106" s="23"/>
      <c r="H106" s="23"/>
      <c r="I106" s="23"/>
      <c r="J106" s="23"/>
      <c r="K106" s="23"/>
      <c r="L106" s="23"/>
      <c r="M106" s="23"/>
      <c r="N106" s="4"/>
      <c r="O106" s="23"/>
      <c r="P106" s="23"/>
      <c r="Q106" s="4"/>
      <c r="R106" s="4"/>
      <c r="S106" s="4"/>
    </row>
    <row r="107" spans="1:19" x14ac:dyDescent="0.25">
      <c r="A107" s="876"/>
      <c r="B107" s="4"/>
      <c r="C107" s="23"/>
      <c r="D107" s="23"/>
      <c r="E107" s="23"/>
      <c r="F107" s="23"/>
      <c r="G107" s="23"/>
      <c r="H107" s="23"/>
      <c r="I107" s="23"/>
      <c r="J107" s="23"/>
      <c r="K107" s="23"/>
      <c r="L107" s="23"/>
      <c r="M107" s="23"/>
      <c r="N107" s="4"/>
      <c r="O107" s="23"/>
      <c r="P107" s="23"/>
      <c r="Q107" s="4"/>
      <c r="R107" s="4"/>
      <c r="S107" s="4"/>
    </row>
    <row r="108" spans="1:19" x14ac:dyDescent="0.25">
      <c r="A108" s="876"/>
      <c r="B108" s="4"/>
      <c r="C108" s="23"/>
      <c r="D108" s="23"/>
      <c r="E108" s="23"/>
      <c r="F108" s="23"/>
      <c r="G108" s="23"/>
      <c r="H108" s="23"/>
      <c r="I108" s="23"/>
      <c r="J108" s="23"/>
      <c r="K108" s="23"/>
      <c r="L108" s="23"/>
      <c r="M108" s="23"/>
      <c r="N108" s="4"/>
      <c r="O108" s="23"/>
      <c r="P108" s="23"/>
      <c r="Q108" s="4"/>
      <c r="R108" s="4"/>
      <c r="S108" s="4"/>
    </row>
    <row r="109" spans="1:19" x14ac:dyDescent="0.25">
      <c r="A109" s="876"/>
      <c r="B109" s="4"/>
      <c r="C109" s="23"/>
      <c r="D109" s="23"/>
      <c r="E109" s="23"/>
      <c r="F109" s="23"/>
      <c r="G109" s="23"/>
      <c r="H109" s="23"/>
      <c r="I109" s="23"/>
      <c r="J109" s="23"/>
      <c r="K109" s="23"/>
      <c r="L109" s="23"/>
      <c r="M109" s="23"/>
      <c r="N109" s="4"/>
      <c r="O109" s="23"/>
      <c r="P109" s="23"/>
      <c r="Q109" s="4"/>
      <c r="R109" s="4"/>
      <c r="S109" s="4"/>
    </row>
    <row r="110" spans="1:19" x14ac:dyDescent="0.25">
      <c r="A110" s="876"/>
      <c r="B110" s="4"/>
      <c r="C110" s="23"/>
      <c r="D110" s="23"/>
      <c r="E110" s="23"/>
      <c r="F110" s="23"/>
      <c r="G110" s="23"/>
      <c r="H110" s="23"/>
      <c r="I110" s="23"/>
      <c r="J110" s="23"/>
      <c r="K110" s="23"/>
      <c r="L110" s="23"/>
      <c r="M110" s="23"/>
      <c r="N110" s="4"/>
      <c r="O110" s="23"/>
      <c r="P110" s="23"/>
      <c r="Q110" s="4"/>
      <c r="R110" s="4"/>
      <c r="S110" s="4"/>
    </row>
    <row r="111" spans="1:19" x14ac:dyDescent="0.25">
      <c r="C111" s="114"/>
    </row>
    <row r="112" spans="1:19" x14ac:dyDescent="0.25">
      <c r="C112" s="114"/>
    </row>
    <row r="113" spans="3:3" x14ac:dyDescent="0.25">
      <c r="C113" s="114"/>
    </row>
    <row r="114" spans="3:3" x14ac:dyDescent="0.25">
      <c r="C114" s="114"/>
    </row>
    <row r="115" spans="3:3" x14ac:dyDescent="0.25">
      <c r="C115" s="114"/>
    </row>
    <row r="116" spans="3:3" x14ac:dyDescent="0.25">
      <c r="C116" s="114"/>
    </row>
    <row r="117" spans="3:3" x14ac:dyDescent="0.25">
      <c r="C117" s="114"/>
    </row>
    <row r="118" spans="3:3" x14ac:dyDescent="0.25">
      <c r="C118" s="114"/>
    </row>
    <row r="119" spans="3:3" x14ac:dyDescent="0.25">
      <c r="C119" s="114"/>
    </row>
    <row r="120" spans="3:3" x14ac:dyDescent="0.25">
      <c r="C120" s="114"/>
    </row>
    <row r="121" spans="3:3" x14ac:dyDescent="0.25">
      <c r="C121" s="114"/>
    </row>
    <row r="122" spans="3:3" x14ac:dyDescent="0.25">
      <c r="C122" s="114"/>
    </row>
    <row r="123" spans="3:3" x14ac:dyDescent="0.25">
      <c r="C123" s="114"/>
    </row>
    <row r="124" spans="3:3" x14ac:dyDescent="0.25">
      <c r="C124" s="114"/>
    </row>
    <row r="125" spans="3:3" x14ac:dyDescent="0.25">
      <c r="C125" s="114"/>
    </row>
    <row r="126" spans="3:3" x14ac:dyDescent="0.25">
      <c r="C126" s="114"/>
    </row>
    <row r="127" spans="3:3" x14ac:dyDescent="0.25">
      <c r="C127" s="114"/>
    </row>
    <row r="128" spans="3:3" x14ac:dyDescent="0.25">
      <c r="C128" s="114"/>
    </row>
    <row r="129" spans="3:3" x14ac:dyDescent="0.25">
      <c r="C129" s="114"/>
    </row>
    <row r="130" spans="3:3" x14ac:dyDescent="0.25">
      <c r="C130" s="114"/>
    </row>
    <row r="131" spans="3:3" x14ac:dyDescent="0.25">
      <c r="C131" s="114"/>
    </row>
    <row r="132" spans="3:3" x14ac:dyDescent="0.25">
      <c r="C132" s="114"/>
    </row>
    <row r="133" spans="3:3" x14ac:dyDescent="0.25">
      <c r="C133" s="114"/>
    </row>
    <row r="134" spans="3:3" x14ac:dyDescent="0.25">
      <c r="C134" s="114"/>
    </row>
    <row r="135" spans="3:3" x14ac:dyDescent="0.25">
      <c r="C135" s="114"/>
    </row>
    <row r="136" spans="3:3" x14ac:dyDescent="0.25">
      <c r="C136" s="114"/>
    </row>
    <row r="137" spans="3:3" x14ac:dyDescent="0.25">
      <c r="C137" s="114"/>
    </row>
    <row r="138" spans="3:3" x14ac:dyDescent="0.25">
      <c r="C138" s="114"/>
    </row>
    <row r="139" spans="3:3" x14ac:dyDescent="0.25">
      <c r="C139" s="114"/>
    </row>
    <row r="140" spans="3:3" x14ac:dyDescent="0.25">
      <c r="C140" s="114"/>
    </row>
    <row r="141" spans="3:3" x14ac:dyDescent="0.25">
      <c r="C141" s="114"/>
    </row>
    <row r="142" spans="3:3" x14ac:dyDescent="0.25">
      <c r="C142" s="114"/>
    </row>
    <row r="143" spans="3:3" x14ac:dyDescent="0.25">
      <c r="C143" s="114"/>
    </row>
    <row r="144" spans="3:3" x14ac:dyDescent="0.25">
      <c r="C144" s="114"/>
    </row>
    <row r="145" spans="3:3" x14ac:dyDescent="0.25">
      <c r="C145" s="114"/>
    </row>
    <row r="146" spans="3:3" x14ac:dyDescent="0.25">
      <c r="C146" s="114"/>
    </row>
    <row r="147" spans="3:3" x14ac:dyDescent="0.25">
      <c r="C147" s="114"/>
    </row>
    <row r="148" spans="3:3" x14ac:dyDescent="0.25">
      <c r="C148" s="114"/>
    </row>
    <row r="149" spans="3:3" x14ac:dyDescent="0.25">
      <c r="C149" s="114"/>
    </row>
    <row r="150" spans="3:3" x14ac:dyDescent="0.25">
      <c r="C150" s="114"/>
    </row>
    <row r="151" spans="3:3" x14ac:dyDescent="0.25">
      <c r="C151" s="114"/>
    </row>
    <row r="152" spans="3:3" x14ac:dyDescent="0.25">
      <c r="C152" s="114"/>
    </row>
    <row r="153" spans="3:3" x14ac:dyDescent="0.25">
      <c r="C153" s="114"/>
    </row>
    <row r="154" spans="3:3" x14ac:dyDescent="0.25">
      <c r="C154" s="114"/>
    </row>
    <row r="155" spans="3:3" x14ac:dyDescent="0.25">
      <c r="C155" s="114"/>
    </row>
    <row r="156" spans="3:3" x14ac:dyDescent="0.25">
      <c r="C156" s="114"/>
    </row>
    <row r="157" spans="3:3" x14ac:dyDescent="0.25">
      <c r="C157" s="114"/>
    </row>
    <row r="158" spans="3:3" x14ac:dyDescent="0.25">
      <c r="C158" s="114"/>
    </row>
    <row r="159" spans="3:3" x14ac:dyDescent="0.25">
      <c r="C159" s="114"/>
    </row>
    <row r="160" spans="3:3" x14ac:dyDescent="0.25">
      <c r="C160" s="114"/>
    </row>
  </sheetData>
  <phoneticPr fontId="0" type="noConversion"/>
  <hyperlinks>
    <hyperlink ref="A1" location="'Working Budget with funding det'!A1" display="Main " xr:uid="{00000000-0004-0000-2100-000000000000}"/>
    <hyperlink ref="B1" location="'Table of Contents'!A1" display="TOC" xr:uid="{00000000-0004-0000-2100-000001000000}"/>
  </hyperlinks>
  <pageMargins left="0.75" right="0.75" top="1" bottom="1" header="0.5" footer="0.5"/>
  <pageSetup scale="92" orientation="landscape" horizontalDpi="300" verticalDpi="300" r:id="rId1"/>
  <headerFooter alignWithMargins="0">
    <oddFooter>&amp;L&amp;D     &amp;T&amp;C&amp;F&amp;R&amp;A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92D050"/>
  </sheetPr>
  <dimension ref="A1:W118"/>
  <sheetViews>
    <sheetView zoomScaleNormal="100" workbookViewId="0">
      <pane ySplit="7" topLeftCell="A79" activePane="bottomLeft" state="frozen"/>
      <selection activeCell="P7" sqref="P7"/>
      <selection pane="bottomLeft" activeCell="B92" sqref="B92"/>
    </sheetView>
  </sheetViews>
  <sheetFormatPr defaultRowHeight="13.2" x14ac:dyDescent="0.25"/>
  <cols>
    <col min="1" max="1" width="9.5546875" style="885" customWidth="1"/>
    <col min="2" max="2" width="36" customWidth="1"/>
    <col min="3" max="3" width="15.33203125" style="1" hidden="1" customWidth="1"/>
    <col min="4" max="10" width="15.33203125" style="114" hidden="1" customWidth="1"/>
    <col min="11" max="13" width="15.33203125" style="114" customWidth="1"/>
    <col min="14" max="17" width="14.44140625" style="1" customWidth="1"/>
    <col min="18" max="18" width="17.109375" customWidth="1"/>
    <col min="19" max="19" width="14" customWidth="1"/>
    <col min="20" max="20" width="14.44140625" customWidth="1"/>
    <col min="21" max="21" width="14.6640625" style="80" customWidth="1"/>
    <col min="22" max="22" width="14.44140625" customWidth="1"/>
    <col min="23" max="23" width="13.6640625" style="2" customWidth="1"/>
    <col min="24" max="24" width="12.6640625" customWidth="1"/>
    <col min="25" max="25" width="14.109375" customWidth="1"/>
    <col min="26" max="26" width="12.33203125" bestFit="1" customWidth="1"/>
  </cols>
  <sheetData>
    <row r="1" spans="1:22" x14ac:dyDescent="0.25">
      <c r="A1" s="874" t="s">
        <v>1021</v>
      </c>
      <c r="B1" s="371" t="s">
        <v>1348</v>
      </c>
      <c r="D1" s="224"/>
      <c r="E1" s="224"/>
      <c r="F1" s="224"/>
      <c r="G1" s="224"/>
      <c r="H1" s="224"/>
      <c r="I1" s="224"/>
      <c r="J1" s="224"/>
      <c r="K1" s="224"/>
      <c r="L1" s="224"/>
      <c r="M1" s="224"/>
      <c r="P1"/>
      <c r="Q1"/>
    </row>
    <row r="2" spans="1:22" ht="13.8" x14ac:dyDescent="0.25">
      <c r="A2" s="875" t="s">
        <v>262</v>
      </c>
      <c r="B2" s="45"/>
      <c r="E2" s="141"/>
      <c r="I2" s="141" t="s">
        <v>257</v>
      </c>
      <c r="J2" s="141"/>
      <c r="K2" s="141"/>
      <c r="L2" s="141"/>
      <c r="M2" s="141"/>
      <c r="N2" s="61" t="s">
        <v>446</v>
      </c>
      <c r="P2" s="46" t="s">
        <v>492</v>
      </c>
    </row>
    <row r="3" spans="1:22" ht="13.8" thickBot="1" x14ac:dyDescent="0.3">
      <c r="A3" s="876"/>
      <c r="B3" s="4"/>
      <c r="C3" s="23"/>
      <c r="D3" s="23"/>
      <c r="E3" s="23"/>
      <c r="F3" s="23"/>
      <c r="G3" s="23"/>
      <c r="H3" s="23"/>
      <c r="I3" s="23"/>
      <c r="J3" s="23"/>
      <c r="K3" s="23"/>
      <c r="L3" s="23"/>
      <c r="M3" s="23"/>
      <c r="N3" s="23"/>
      <c r="O3" s="23"/>
      <c r="P3" s="4"/>
      <c r="Q3" s="4"/>
      <c r="T3" s="4"/>
      <c r="U3" s="4"/>
      <c r="V3" s="4"/>
    </row>
    <row r="4" spans="1:22" ht="13.8" thickTop="1" x14ac:dyDescent="0.25">
      <c r="A4" s="877"/>
      <c r="B4" s="651"/>
      <c r="C4" s="128" t="s">
        <v>127</v>
      </c>
      <c r="D4" s="258" t="s">
        <v>127</v>
      </c>
      <c r="E4" s="258" t="s">
        <v>127</v>
      </c>
      <c r="F4" s="258" t="s">
        <v>127</v>
      </c>
      <c r="G4" s="258" t="s">
        <v>127</v>
      </c>
      <c r="H4" s="112" t="s">
        <v>127</v>
      </c>
      <c r="I4" s="291" t="s">
        <v>127</v>
      </c>
      <c r="J4" s="291" t="s">
        <v>127</v>
      </c>
      <c r="K4" s="291" t="s">
        <v>547</v>
      </c>
      <c r="L4" s="291" t="s">
        <v>127</v>
      </c>
      <c r="M4" s="291" t="s">
        <v>547</v>
      </c>
      <c r="N4" s="112" t="s">
        <v>495</v>
      </c>
      <c r="O4" s="85" t="s">
        <v>910</v>
      </c>
      <c r="P4" s="350" t="s">
        <v>910</v>
      </c>
      <c r="Q4" s="224"/>
    </row>
    <row r="5" spans="1:22" x14ac:dyDescent="0.25">
      <c r="A5" s="878"/>
      <c r="B5" s="209"/>
      <c r="C5" s="127"/>
      <c r="D5" s="87"/>
      <c r="E5" s="113"/>
      <c r="F5" s="87"/>
      <c r="G5" s="87"/>
      <c r="H5" s="113"/>
      <c r="I5" s="292"/>
      <c r="J5" s="292"/>
      <c r="K5" s="292"/>
      <c r="L5" s="292"/>
      <c r="M5" s="292"/>
      <c r="N5" s="113" t="s">
        <v>515</v>
      </c>
      <c r="O5" s="91" t="s">
        <v>7</v>
      </c>
      <c r="P5" s="203" t="s">
        <v>782</v>
      </c>
    </row>
    <row r="6" spans="1:22" x14ac:dyDescent="0.25">
      <c r="A6" s="878"/>
      <c r="B6" s="209"/>
      <c r="C6" s="127"/>
      <c r="D6" s="127"/>
      <c r="E6" s="127"/>
      <c r="F6" s="127"/>
      <c r="G6" s="127"/>
      <c r="H6" s="127"/>
      <c r="I6" s="91"/>
      <c r="J6" s="91"/>
      <c r="K6" s="91"/>
      <c r="L6" s="91"/>
      <c r="M6" s="91"/>
      <c r="N6" s="127"/>
      <c r="O6" s="91" t="s">
        <v>8</v>
      </c>
      <c r="P6" s="90" t="s">
        <v>543</v>
      </c>
    </row>
    <row r="7" spans="1:22"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44561</v>
      </c>
      <c r="O7" s="9" t="s">
        <v>9</v>
      </c>
      <c r="P7" s="9" t="s">
        <v>546</v>
      </c>
    </row>
    <row r="8" spans="1:22" ht="13.8" thickTop="1" x14ac:dyDescent="0.25">
      <c r="A8" s="880"/>
      <c r="B8" s="177"/>
      <c r="C8" s="132"/>
      <c r="D8" s="18"/>
      <c r="E8" s="18"/>
      <c r="F8" s="18"/>
      <c r="G8" s="18"/>
      <c r="H8" s="18"/>
      <c r="I8" s="19"/>
      <c r="J8" s="19"/>
      <c r="K8" s="19"/>
      <c r="L8" s="19"/>
      <c r="M8" s="19"/>
      <c r="N8" s="18"/>
      <c r="O8" s="19"/>
      <c r="P8" s="19"/>
    </row>
    <row r="9" spans="1:22" x14ac:dyDescent="0.25">
      <c r="A9" s="881">
        <v>5112</v>
      </c>
      <c r="B9" s="63" t="s">
        <v>523</v>
      </c>
      <c r="C9" s="130">
        <f>+'192 Public Bldgs'!C9+'422 Maintenance'!C9+'652 Parks'!C9</f>
        <v>650432.08000000007</v>
      </c>
      <c r="D9" s="13">
        <f>+'192 Public Bldgs'!D9+'422 Maintenance'!D9+'652 Parks'!D9</f>
        <v>699937.45999999985</v>
      </c>
      <c r="E9" s="13">
        <f>+'192 Public Bldgs'!E9+'422 Maintenance'!E9+'652 Parks'!E9</f>
        <v>694793.07000000007</v>
      </c>
      <c r="F9" s="13">
        <f>+'192 Public Bldgs'!F9+'422 Maintenance'!F9+'652 Parks'!F9</f>
        <v>721817.33</v>
      </c>
      <c r="G9" s="13">
        <f>+'192 Public Bldgs'!G9+'422 Maintenance'!G9+'652 Parks'!G9</f>
        <v>773672.43</v>
      </c>
      <c r="H9" s="13">
        <f>+'192 Public Bldgs'!H9+'422 Maintenance'!H9+'652 Parks'!H9</f>
        <v>808516.96</v>
      </c>
      <c r="I9" s="13">
        <f>+'192 Public Bldgs'!I9+'422 Maintenance'!I9+'652 Parks'!I9</f>
        <v>819356.52</v>
      </c>
      <c r="J9" s="13">
        <f>+'192 Public Bldgs'!J9+'422 Maintenance'!J9+'652 Parks'!J9</f>
        <v>876217.06</v>
      </c>
      <c r="K9" s="42">
        <f>+'192 Public Bldgs'!K9+'422 Maintenance'!K9+'652 Parks'!K9</f>
        <v>923808</v>
      </c>
      <c r="L9" s="13">
        <f>+'192 Public Bldgs'!L9+'422 Maintenance'!L9+'652 Parks'!L9</f>
        <v>891930.96000000008</v>
      </c>
      <c r="M9" s="42">
        <f>+'192 Public Bldgs'!M9+'422 Maintenance'!M9+'652 Parks'!M9</f>
        <v>949883</v>
      </c>
      <c r="N9" s="13">
        <f>+'192 Public Bldgs'!N9+'422 Maintenance'!N9+'652 Parks'!N9</f>
        <v>436985.23</v>
      </c>
      <c r="O9" s="42">
        <f>+'192 Public Bldgs'!O9+'422 Maintenance'!O9+'652 Parks'!O9</f>
        <v>955500</v>
      </c>
      <c r="P9" s="42">
        <f>+'192 Public Bldgs'!P9+'422 Maintenance'!P9+'652 Parks'!P9</f>
        <v>0</v>
      </c>
    </row>
    <row r="10" spans="1:22" x14ac:dyDescent="0.25">
      <c r="A10" s="881">
        <v>5124</v>
      </c>
      <c r="B10" s="63" t="s">
        <v>101</v>
      </c>
      <c r="C10" s="130">
        <f>+'652 Parks'!C10</f>
        <v>4630</v>
      </c>
      <c r="D10" s="13">
        <f>+'652 Parks'!D10</f>
        <v>4240.57</v>
      </c>
      <c r="E10" s="13">
        <f>+'652 Parks'!E10</f>
        <v>3855</v>
      </c>
      <c r="F10" s="13">
        <f>+'652 Parks'!F10</f>
        <v>5060</v>
      </c>
      <c r="G10" s="13">
        <f>+'652 Parks'!G10</f>
        <v>3335</v>
      </c>
      <c r="H10" s="13">
        <f>+'652 Parks'!H10</f>
        <v>4303.75</v>
      </c>
      <c r="I10" s="13">
        <f>+'652 Parks'!I10</f>
        <v>3720</v>
      </c>
      <c r="J10" s="13">
        <f>+'652 Parks'!J10</f>
        <v>9017.6299999999992</v>
      </c>
      <c r="K10" s="42">
        <f>+'652 Parks'!K10</f>
        <v>6000</v>
      </c>
      <c r="L10" s="13">
        <f>+'652 Parks'!L10</f>
        <v>9774.94</v>
      </c>
      <c r="M10" s="42">
        <f>+'652 Parks'!M10</f>
        <v>12000</v>
      </c>
      <c r="N10" s="13">
        <f>+'652 Parks'!N10</f>
        <v>4377.38</v>
      </c>
      <c r="O10" s="42">
        <f>+'652 Parks'!O10</f>
        <v>19000</v>
      </c>
      <c r="P10" s="42">
        <f>+'652 Parks'!P10</f>
        <v>0</v>
      </c>
    </row>
    <row r="11" spans="1:22" x14ac:dyDescent="0.25">
      <c r="A11" s="881">
        <v>5132</v>
      </c>
      <c r="B11" s="63" t="s">
        <v>191</v>
      </c>
      <c r="C11" s="130">
        <f>+'192 Public Bldgs'!C10+'422 Maintenance'!C10+'652 Parks'!C11</f>
        <v>12576.779999999999</v>
      </c>
      <c r="D11" s="13">
        <f>+'192 Public Bldgs'!D10+'422 Maintenance'!D10+'652 Parks'!D11</f>
        <v>11853.079999999998</v>
      </c>
      <c r="E11" s="13">
        <f>+'192 Public Bldgs'!E10+'422 Maintenance'!E10+'652 Parks'!E11</f>
        <v>7958.420000000001</v>
      </c>
      <c r="F11" s="13">
        <f>+'192 Public Bldgs'!F10+'422 Maintenance'!F10+'652 Parks'!F11</f>
        <v>7922.45</v>
      </c>
      <c r="G11" s="13">
        <f>+'192 Public Bldgs'!G10+'422 Maintenance'!G10+'652 Parks'!G11</f>
        <v>9747.4700000000012</v>
      </c>
      <c r="H11" s="13">
        <f>+'192 Public Bldgs'!H10+'422 Maintenance'!H10+'652 Parks'!H11</f>
        <v>8182.2099999999991</v>
      </c>
      <c r="I11" s="13">
        <f>+'192 Public Bldgs'!I10+'422 Maintenance'!I10+'652 Parks'!I11</f>
        <v>14364.1</v>
      </c>
      <c r="J11" s="13">
        <f>+'192 Public Bldgs'!J10+'422 Maintenance'!J10+'652 Parks'!J11</f>
        <v>14736.5</v>
      </c>
      <c r="K11" s="42">
        <f>+'192 Public Bldgs'!K10+'422 Maintenance'!K10+'652 Parks'!K11</f>
        <v>18000</v>
      </c>
      <c r="L11" s="13">
        <f>+'192 Public Bldgs'!L10+'422 Maintenance'!L10+'652 Parks'!L11</f>
        <v>25531.620000000003</v>
      </c>
      <c r="M11" s="42">
        <f>+'192 Public Bldgs'!M10+'422 Maintenance'!M10+'652 Parks'!M11</f>
        <v>22000</v>
      </c>
      <c r="N11" s="13">
        <f>+'192 Public Bldgs'!N10+'422 Maintenance'!N10+'652 Parks'!N11</f>
        <v>14198.85</v>
      </c>
      <c r="O11" s="42">
        <f>+'192 Public Bldgs'!O10+'422 Maintenance'!O10+'652 Parks'!O11</f>
        <v>22500</v>
      </c>
      <c r="P11" s="42">
        <f>+'192 Public Bldgs'!P10+'422 Maintenance'!P10+'652 Parks'!P11</f>
        <v>0</v>
      </c>
    </row>
    <row r="12" spans="1:22" x14ac:dyDescent="0.25">
      <c r="A12" s="881">
        <v>5142</v>
      </c>
      <c r="B12" s="63" t="s">
        <v>164</v>
      </c>
      <c r="C12" s="130">
        <f>+'422 Maintenance'!C11+'652 Parks'!C12+'192 Public Bldgs'!C11</f>
        <v>5871.95</v>
      </c>
      <c r="D12" s="13">
        <f>+'422 Maintenance'!D11+'652 Parks'!D12+'192 Public Bldgs'!D11</f>
        <v>6242.7900000000009</v>
      </c>
      <c r="E12" s="13">
        <f>+'422 Maintenance'!E11+'652 Parks'!E12+'192 Public Bldgs'!E11</f>
        <v>6305.43</v>
      </c>
      <c r="F12" s="13">
        <f>+'422 Maintenance'!F11+'652 Parks'!F12+'192 Public Bldgs'!F11</f>
        <v>6277.31</v>
      </c>
      <c r="G12" s="13">
        <f>+'422 Maintenance'!G11+'652 Parks'!G12+'192 Public Bldgs'!G11</f>
        <v>7745.86</v>
      </c>
      <c r="H12" s="13">
        <f>+'422 Maintenance'!H11+'652 Parks'!H12+'192 Public Bldgs'!H11</f>
        <v>10630.82</v>
      </c>
      <c r="I12" s="13">
        <f>+'422 Maintenance'!I11+'652 Parks'!I12+'192 Public Bldgs'!I11</f>
        <v>11139.42</v>
      </c>
      <c r="J12" s="13">
        <f>+'422 Maintenance'!J11+'652 Parks'!J12+'192 Public Bldgs'!J11</f>
        <v>13959.15</v>
      </c>
      <c r="K12" s="42">
        <f>+'422 Maintenance'!K11+'652 Parks'!K12+'192 Public Bldgs'!K11</f>
        <v>15250</v>
      </c>
      <c r="L12" s="13">
        <f>+'422 Maintenance'!L11+'652 Parks'!L12+'192 Public Bldgs'!L11</f>
        <v>14013.01</v>
      </c>
      <c r="M12" s="42">
        <f>+'422 Maintenance'!M11+'652 Parks'!M12+'192 Public Bldgs'!M11</f>
        <v>18250</v>
      </c>
      <c r="N12" s="13">
        <f>+'422 Maintenance'!N11+'652 Parks'!N12+'192 Public Bldgs'!N11</f>
        <v>8774.7799999999988</v>
      </c>
      <c r="O12" s="42">
        <f>+'422 Maintenance'!O11+'652 Parks'!O12+'192 Public Bldgs'!O11</f>
        <v>17175</v>
      </c>
      <c r="P12" s="42">
        <f>+'422 Maintenance'!P11+'652 Parks'!P12+'192 Public Bldgs'!P11</f>
        <v>0</v>
      </c>
    </row>
    <row r="13" spans="1:22" x14ac:dyDescent="0.25">
      <c r="A13" s="881">
        <v>5144</v>
      </c>
      <c r="B13" s="63" t="s">
        <v>157</v>
      </c>
      <c r="C13" s="130">
        <f>+'422 Maintenance'!C12</f>
        <v>2600</v>
      </c>
      <c r="D13" s="13">
        <f>+'422 Maintenance'!D12</f>
        <v>3750</v>
      </c>
      <c r="E13" s="13">
        <f>+'422 Maintenance'!E12</f>
        <v>3000</v>
      </c>
      <c r="F13" s="13">
        <f>+'422 Maintenance'!F12</f>
        <v>2200</v>
      </c>
      <c r="G13" s="13">
        <f>+'422 Maintenance'!G12</f>
        <v>4140</v>
      </c>
      <c r="H13" s="13">
        <f>+'422 Maintenance'!H12</f>
        <v>3620</v>
      </c>
      <c r="I13" s="13">
        <f>+'422 Maintenance'!I12</f>
        <v>3640</v>
      </c>
      <c r="J13" s="13">
        <f>+'422 Maintenance'!J12</f>
        <v>3400</v>
      </c>
      <c r="K13" s="42">
        <f>+'422 Maintenance'!K12</f>
        <v>3000</v>
      </c>
      <c r="L13" s="13">
        <f>+'422 Maintenance'!L12</f>
        <v>2000</v>
      </c>
      <c r="M13" s="42">
        <f>+'422 Maintenance'!M12</f>
        <v>3600</v>
      </c>
      <c r="N13" s="13">
        <f>+'422 Maintenance'!N12</f>
        <v>1000</v>
      </c>
      <c r="O13" s="42">
        <f>+'422 Maintenance'!O12</f>
        <v>1000</v>
      </c>
      <c r="P13" s="42">
        <f>+'422 Maintenance'!P12</f>
        <v>0</v>
      </c>
    </row>
    <row r="14" spans="1:22" x14ac:dyDescent="0.25">
      <c r="A14" s="881">
        <v>5144</v>
      </c>
      <c r="B14" s="63" t="s">
        <v>602</v>
      </c>
      <c r="C14" s="130">
        <f>+'422 Maintenance'!C13</f>
        <v>600.08000000000004</v>
      </c>
      <c r="D14" s="13">
        <f>+'422 Maintenance'!D13</f>
        <v>842.42</v>
      </c>
      <c r="E14" s="13">
        <f>+'422 Maintenance'!E13</f>
        <v>1200.1600000000001</v>
      </c>
      <c r="F14" s="13">
        <f>+'422 Maintenance'!F13</f>
        <v>1223.24</v>
      </c>
      <c r="G14" s="13">
        <f>+'422 Maintenance'!G13</f>
        <v>1119.3800000000001</v>
      </c>
      <c r="H14" s="13">
        <f>+'422 Maintenance'!H13</f>
        <v>946.28</v>
      </c>
      <c r="I14" s="13">
        <f>+'422 Maintenance'!I13</f>
        <v>1488.66</v>
      </c>
      <c r="J14" s="13">
        <f>+'422 Maintenance'!J13</f>
        <v>1500.2</v>
      </c>
      <c r="K14" s="42">
        <f>+'422 Maintenance'!K13</f>
        <v>1525</v>
      </c>
      <c r="L14" s="13">
        <f>+'422 Maintenance'!L13</f>
        <v>1529.05</v>
      </c>
      <c r="M14" s="42">
        <f>+'422 Maintenance'!M13</f>
        <v>1525</v>
      </c>
      <c r="N14" s="13">
        <f>+'422 Maintenance'!N13</f>
        <v>646.24</v>
      </c>
      <c r="O14" s="42">
        <f>+'422 Maintenance'!O13</f>
        <v>1525</v>
      </c>
      <c r="P14" s="42">
        <f>+'422 Maintenance'!P13</f>
        <v>0</v>
      </c>
    </row>
    <row r="15" spans="1:22" x14ac:dyDescent="0.25">
      <c r="A15" s="881">
        <v>5193</v>
      </c>
      <c r="B15" s="63" t="s">
        <v>699</v>
      </c>
      <c r="C15" s="130"/>
      <c r="D15" s="13">
        <f>+'422 Maintenance'!D14</f>
        <v>0</v>
      </c>
      <c r="E15" s="13">
        <f>+'422 Maintenance'!E14</f>
        <v>9799.56</v>
      </c>
      <c r="F15" s="13">
        <f>+'422 Maintenance'!F14</f>
        <v>0</v>
      </c>
      <c r="G15" s="13">
        <f>+'422 Maintenance'!G14</f>
        <v>2150.5</v>
      </c>
      <c r="H15" s="13">
        <f>+'422 Maintenance'!H14</f>
        <v>4111.34</v>
      </c>
      <c r="I15" s="13">
        <f>+'422 Maintenance'!I14</f>
        <v>8358</v>
      </c>
      <c r="J15" s="13">
        <f>+'422 Maintenance'!J14</f>
        <v>5172.6400000000003</v>
      </c>
      <c r="K15" s="42">
        <f>+'422 Maintenance'!K14</f>
        <v>0</v>
      </c>
      <c r="L15" s="13">
        <f>+'422 Maintenance'!L14</f>
        <v>1303.8</v>
      </c>
      <c r="M15" s="42">
        <f>+'422 Maintenance'!M14</f>
        <v>11292</v>
      </c>
      <c r="N15" s="13">
        <f>+'422 Maintenance'!N14</f>
        <v>15775.6</v>
      </c>
      <c r="O15" s="42">
        <f>+'422 Maintenance'!O14</f>
        <v>0</v>
      </c>
      <c r="P15" s="42">
        <f>+'422 Maintenance'!P14</f>
        <v>0</v>
      </c>
    </row>
    <row r="16" spans="1:22" ht="13.8" thickBot="1" x14ac:dyDescent="0.3">
      <c r="A16" s="881">
        <v>5194</v>
      </c>
      <c r="B16" s="63" t="s">
        <v>226</v>
      </c>
      <c r="C16" s="718">
        <f>+'422 Maintenance'!C15</f>
        <v>0</v>
      </c>
      <c r="D16" s="39">
        <f>+'422 Maintenance'!D15</f>
        <v>0</v>
      </c>
      <c r="E16" s="39">
        <f>+'422 Maintenance'!E15</f>
        <v>5134.3</v>
      </c>
      <c r="F16" s="39">
        <f>+'422 Maintenance'!F15</f>
        <v>0</v>
      </c>
      <c r="G16" s="39">
        <f>+'422 Maintenance'!G15</f>
        <v>1553.75</v>
      </c>
      <c r="H16" s="39">
        <f>+'422 Maintenance'!H15</f>
        <v>7000</v>
      </c>
      <c r="I16" s="39">
        <f>+'422 Maintenance'!I15</f>
        <v>3500</v>
      </c>
      <c r="J16" s="39">
        <f>+'422 Maintenance'!J15</f>
        <v>709.2</v>
      </c>
      <c r="K16" s="186">
        <f>+'422 Maintenance'!K15</f>
        <v>0</v>
      </c>
      <c r="L16" s="39">
        <f>+'422 Maintenance'!L15</f>
        <v>0</v>
      </c>
      <c r="M16" s="186">
        <f>+'422 Maintenance'!M15</f>
        <v>4200</v>
      </c>
      <c r="N16" s="39">
        <f>+'422 Maintenance'!N15</f>
        <v>4791.7299999999996</v>
      </c>
      <c r="O16" s="186">
        <f>+'422 Maintenance'!O15</f>
        <v>0</v>
      </c>
      <c r="P16" s="186">
        <f>+'422 Maintenance'!P15</f>
        <v>0</v>
      </c>
    </row>
    <row r="17" spans="1:16" x14ac:dyDescent="0.25">
      <c r="A17" s="881"/>
      <c r="B17" s="64" t="s">
        <v>130</v>
      </c>
      <c r="C17" s="132">
        <f t="shared" ref="C17:O17" si="0">SUM(C9:C16)</f>
        <v>676710.89</v>
      </c>
      <c r="D17" s="18">
        <f t="shared" si="0"/>
        <v>726866.31999999983</v>
      </c>
      <c r="E17" s="18">
        <f t="shared" ref="E17:K17" si="1">SUM(E9:E16)</f>
        <v>732045.94000000029</v>
      </c>
      <c r="F17" s="18">
        <f t="shared" si="1"/>
        <v>744500.33</v>
      </c>
      <c r="G17" s="18">
        <f t="shared" si="1"/>
        <v>803464.39</v>
      </c>
      <c r="H17" s="18">
        <f t="shared" si="1"/>
        <v>847311.35999999987</v>
      </c>
      <c r="I17" s="18">
        <f t="shared" si="1"/>
        <v>865566.70000000007</v>
      </c>
      <c r="J17" s="18">
        <f t="shared" ref="J17" si="2">SUM(J9:J16)</f>
        <v>924712.38</v>
      </c>
      <c r="K17" s="36">
        <f t="shared" si="1"/>
        <v>967583</v>
      </c>
      <c r="L17" s="18">
        <f t="shared" ref="L17:M17" si="3">SUM(L9:L16)</f>
        <v>946083.38000000012</v>
      </c>
      <c r="M17" s="36">
        <f t="shared" si="3"/>
        <v>1022750</v>
      </c>
      <c r="N17" s="18">
        <f t="shared" si="0"/>
        <v>486549.80999999994</v>
      </c>
      <c r="O17" s="36">
        <f t="shared" si="0"/>
        <v>1016700</v>
      </c>
      <c r="P17" s="36">
        <f>+O17</f>
        <v>1016700</v>
      </c>
    </row>
    <row r="18" spans="1:16" x14ac:dyDescent="0.25">
      <c r="A18" s="881"/>
      <c r="B18" s="63"/>
      <c r="C18" s="130"/>
      <c r="D18" s="13"/>
      <c r="E18" s="13"/>
      <c r="F18" s="13"/>
      <c r="G18" s="13"/>
      <c r="H18" s="13"/>
      <c r="I18" s="13"/>
      <c r="J18" s="13"/>
      <c r="K18" s="42"/>
      <c r="L18" s="13"/>
      <c r="M18" s="42"/>
      <c r="N18" s="13"/>
      <c r="O18" s="42"/>
      <c r="P18" s="42"/>
    </row>
    <row r="19" spans="1:16" x14ac:dyDescent="0.25">
      <c r="A19" s="881">
        <v>5241</v>
      </c>
      <c r="B19" s="12" t="s">
        <v>868</v>
      </c>
      <c r="C19" s="102">
        <f>+'192 Public Bldgs'!C14</f>
        <v>0</v>
      </c>
      <c r="D19" s="102">
        <f>+'192 Public Bldgs'!D14</f>
        <v>0</v>
      </c>
      <c r="E19" s="102">
        <f>+'192 Public Bldgs'!E14</f>
        <v>2228</v>
      </c>
      <c r="F19" s="102">
        <f>+'192 Public Bldgs'!F14</f>
        <v>2295</v>
      </c>
      <c r="G19" s="102">
        <f>+'192 Public Bldgs'!G14</f>
        <v>2364</v>
      </c>
      <c r="H19" s="102">
        <f>+'192 Public Bldgs'!H14</f>
        <v>2434</v>
      </c>
      <c r="I19" s="102">
        <f>+'192 Public Bldgs'!I14</f>
        <v>2508</v>
      </c>
      <c r="J19" s="102">
        <f>+'192 Public Bldgs'!J14</f>
        <v>2583</v>
      </c>
      <c r="K19" s="44">
        <f>+'192 Public Bldgs'!K14</f>
        <v>3000</v>
      </c>
      <c r="L19" s="102">
        <f>+'192 Public Bldgs'!L14</f>
        <v>2660</v>
      </c>
      <c r="M19" s="44">
        <f>+'192 Public Bldgs'!M14</f>
        <v>3000</v>
      </c>
      <c r="N19" s="44">
        <f>+'192 Public Bldgs'!N14</f>
        <v>2740</v>
      </c>
      <c r="O19" s="44">
        <f>+'192 Public Bldgs'!O14</f>
        <v>3000</v>
      </c>
      <c r="P19" s="42">
        <f>+'192 Public Bldgs'!P14</f>
        <v>0</v>
      </c>
    </row>
    <row r="20" spans="1:16" x14ac:dyDescent="0.25">
      <c r="A20" s="881">
        <v>5242</v>
      </c>
      <c r="B20" s="12" t="s">
        <v>197</v>
      </c>
      <c r="C20" s="102">
        <f>+'192 Public Bldgs'!C15+'422 Maintenance'!C18</f>
        <v>12678.44</v>
      </c>
      <c r="D20" s="102">
        <f>+'192 Public Bldgs'!D15+'422 Maintenance'!D18</f>
        <v>15899.46</v>
      </c>
      <c r="E20" s="102">
        <f>+'192 Public Bldgs'!E15+'422 Maintenance'!E18</f>
        <v>22272.13</v>
      </c>
      <c r="F20" s="102">
        <f>+'192 Public Bldgs'!F15+'422 Maintenance'!F18</f>
        <v>13187.52</v>
      </c>
      <c r="G20" s="102">
        <f>+'192 Public Bldgs'!G15+'422 Maintenance'!G18</f>
        <v>14585.18</v>
      </c>
      <c r="H20" s="102">
        <f>+'192 Public Bldgs'!H15+'422 Maintenance'!H18</f>
        <v>14071.66</v>
      </c>
      <c r="I20" s="102">
        <f>+'192 Public Bldgs'!I15+'422 Maintenance'!I18</f>
        <v>16599.11</v>
      </c>
      <c r="J20" s="102">
        <f>+'192 Public Bldgs'!J15+'422 Maintenance'!J18</f>
        <v>18229.580000000002</v>
      </c>
      <c r="K20" s="44">
        <f>+'192 Public Bldgs'!K15+'422 Maintenance'!K18</f>
        <v>19500</v>
      </c>
      <c r="L20" s="102">
        <f>+'192 Public Bldgs'!L15+'422 Maintenance'!L18</f>
        <v>23649.11</v>
      </c>
      <c r="M20" s="44">
        <f>+'192 Public Bldgs'!M15+'422 Maintenance'!M18</f>
        <v>21500</v>
      </c>
      <c r="N20" s="102">
        <f>+'192 Public Bldgs'!N15+'422 Maintenance'!N18</f>
        <v>11088.25</v>
      </c>
      <c r="O20" s="44">
        <f>+'192 Public Bldgs'!O15+'422 Maintenance'!O18</f>
        <v>25100</v>
      </c>
      <c r="P20" s="42">
        <f>+'192 Public Bldgs'!P15+'422 Maintenance'!P18</f>
        <v>0</v>
      </c>
    </row>
    <row r="21" spans="1:16" x14ac:dyDescent="0.25">
      <c r="A21" s="881">
        <v>5243</v>
      </c>
      <c r="B21" s="12" t="s">
        <v>271</v>
      </c>
      <c r="C21" s="13">
        <f>+'192 Public Bldgs'!C16</f>
        <v>15167.36</v>
      </c>
      <c r="D21" s="13">
        <f>+'192 Public Bldgs'!D16</f>
        <v>12103.44</v>
      </c>
      <c r="E21" s="13">
        <f>+'192 Public Bldgs'!E16</f>
        <v>42549.06</v>
      </c>
      <c r="F21" s="13">
        <f>+'192 Public Bldgs'!F16</f>
        <v>23614.560000000001</v>
      </c>
      <c r="G21" s="13">
        <f>+'192 Public Bldgs'!G16</f>
        <v>31462.560000000001</v>
      </c>
      <c r="H21" s="13">
        <f>+'192 Public Bldgs'!H16</f>
        <v>20342.38</v>
      </c>
      <c r="I21" s="13">
        <f>+'192 Public Bldgs'!I16</f>
        <v>33925.94</v>
      </c>
      <c r="J21" s="13">
        <f>+'192 Public Bldgs'!J16</f>
        <v>27147.34</v>
      </c>
      <c r="K21" s="42">
        <f>+'192 Public Bldgs'!K16</f>
        <v>25000</v>
      </c>
      <c r="L21" s="13">
        <f>+'192 Public Bldgs'!L16</f>
        <v>15937.72</v>
      </c>
      <c r="M21" s="42">
        <f>+'192 Public Bldgs'!M16</f>
        <v>25000</v>
      </c>
      <c r="N21" s="13">
        <f>+'192 Public Bldgs'!N16</f>
        <v>413.15</v>
      </c>
      <c r="O21" s="42">
        <f>+'192 Public Bldgs'!O16</f>
        <v>25000</v>
      </c>
      <c r="P21" s="42">
        <f>+'192 Public Bldgs'!P16</f>
        <v>0</v>
      </c>
    </row>
    <row r="22" spans="1:16" x14ac:dyDescent="0.25">
      <c r="A22" s="881">
        <v>5245</v>
      </c>
      <c r="B22" s="12" t="s">
        <v>183</v>
      </c>
      <c r="C22" s="13">
        <f>+'422 Maintenance'!C19</f>
        <v>15640.85</v>
      </c>
      <c r="D22" s="13">
        <f>+'422 Maintenance'!D19</f>
        <v>20923.13</v>
      </c>
      <c r="E22" s="13">
        <f>+'422 Maintenance'!E19</f>
        <v>22296.94</v>
      </c>
      <c r="F22" s="13">
        <f>+'422 Maintenance'!F19</f>
        <v>34754.76</v>
      </c>
      <c r="G22" s="13">
        <f>+'422 Maintenance'!G19</f>
        <v>23394.59</v>
      </c>
      <c r="H22" s="13">
        <f>+'422 Maintenance'!H19</f>
        <v>24713.51</v>
      </c>
      <c r="I22" s="13">
        <f>+'422 Maintenance'!I19</f>
        <v>17661.330000000002</v>
      </c>
      <c r="J22" s="13">
        <f>+'422 Maintenance'!J19</f>
        <v>27018.75</v>
      </c>
      <c r="K22" s="42">
        <f>+'422 Maintenance'!K19</f>
        <v>30000</v>
      </c>
      <c r="L22" s="13">
        <f>+'422 Maintenance'!L19</f>
        <v>28032.21</v>
      </c>
      <c r="M22" s="42">
        <f>+'422 Maintenance'!M19</f>
        <v>35000</v>
      </c>
      <c r="N22" s="13">
        <f>+'422 Maintenance'!N19</f>
        <v>9548.73</v>
      </c>
      <c r="O22" s="42">
        <f>+'422 Maintenance'!O19</f>
        <v>35000</v>
      </c>
      <c r="P22" s="42">
        <f>+'422 Maintenance'!P19</f>
        <v>0</v>
      </c>
    </row>
    <row r="23" spans="1:16" x14ac:dyDescent="0.25">
      <c r="A23" s="881">
        <v>5247</v>
      </c>
      <c r="B23" s="12" t="s">
        <v>1176</v>
      </c>
      <c r="C23" s="13">
        <f>+'422 Maintenance'!C20</f>
        <v>0</v>
      </c>
      <c r="D23" s="13">
        <f>+'422 Maintenance'!D20</f>
        <v>0</v>
      </c>
      <c r="E23" s="13">
        <f>+'422 Maintenance'!E20</f>
        <v>503.29</v>
      </c>
      <c r="F23" s="13">
        <f>+'422 Maintenance'!F20</f>
        <v>88</v>
      </c>
      <c r="G23" s="13">
        <f>+'422 Maintenance'!G20</f>
        <v>0</v>
      </c>
      <c r="H23" s="13">
        <f>+'422 Maintenance'!H20</f>
        <v>264</v>
      </c>
      <c r="I23" s="13">
        <f>+'422 Maintenance'!I20</f>
        <v>0</v>
      </c>
      <c r="J23" s="13">
        <f>+'422 Maintenance'!J20</f>
        <v>88</v>
      </c>
      <c r="K23" s="42">
        <f>+'422 Maintenance'!K20</f>
        <v>4200</v>
      </c>
      <c r="L23" s="13">
        <f>+'422 Maintenance'!L20</f>
        <v>0</v>
      </c>
      <c r="M23" s="42">
        <f>+'422 Maintenance'!M20</f>
        <v>4200</v>
      </c>
      <c r="N23" s="13">
        <f>+'422 Maintenance'!N20</f>
        <v>0</v>
      </c>
      <c r="O23" s="42">
        <f>+'422 Maintenance'!O20</f>
        <v>2000</v>
      </c>
      <c r="P23" s="42">
        <f>+'422 Maintenance'!P20</f>
        <v>0</v>
      </c>
    </row>
    <row r="24" spans="1:16" x14ac:dyDescent="0.25">
      <c r="A24" s="881">
        <v>5251</v>
      </c>
      <c r="B24" s="12" t="s">
        <v>167</v>
      </c>
      <c r="C24" s="13">
        <f>+'192 Public Bldgs'!C17+'422 Maintenance'!C21</f>
        <v>2981.07</v>
      </c>
      <c r="D24" s="13">
        <f>+'192 Public Bldgs'!D17+'422 Maintenance'!D21</f>
        <v>3552.43</v>
      </c>
      <c r="E24" s="13">
        <f>+'192 Public Bldgs'!E17+'422 Maintenance'!E21</f>
        <v>5595.84</v>
      </c>
      <c r="F24" s="13">
        <f>+'192 Public Bldgs'!F17+'422 Maintenance'!F21</f>
        <v>5335.59</v>
      </c>
      <c r="G24" s="13">
        <f>+'192 Public Bldgs'!G17+'422 Maintenance'!G21</f>
        <v>8776.69</v>
      </c>
      <c r="H24" s="13">
        <f>+'192 Public Bldgs'!H17+'422 Maintenance'!H21</f>
        <v>6110.8</v>
      </c>
      <c r="I24" s="13">
        <f>+'192 Public Bldgs'!I17+'422 Maintenance'!I21</f>
        <v>7246.8899999999994</v>
      </c>
      <c r="J24" s="13">
        <f>+'192 Public Bldgs'!J17+'422 Maintenance'!J21</f>
        <v>6657.27</v>
      </c>
      <c r="K24" s="42">
        <f>+'192 Public Bldgs'!K17+'422 Maintenance'!K21</f>
        <v>5300</v>
      </c>
      <c r="L24" s="13">
        <f>+'192 Public Bldgs'!L17+'422 Maintenance'!L21</f>
        <v>7949.81</v>
      </c>
      <c r="M24" s="42">
        <f>+'192 Public Bldgs'!M17+'422 Maintenance'!M21</f>
        <v>7800</v>
      </c>
      <c r="N24" s="13">
        <f>+'192 Public Bldgs'!N17+'422 Maintenance'!N21</f>
        <v>2594.5500000000002</v>
      </c>
      <c r="O24" s="42">
        <f>+'192 Public Bldgs'!O17+'422 Maintenance'!O21</f>
        <v>10000</v>
      </c>
      <c r="P24" s="42">
        <f>+'192 Public Bldgs'!P17+'422 Maintenance'!P21</f>
        <v>0</v>
      </c>
    </row>
    <row r="25" spans="1:16" x14ac:dyDescent="0.25">
      <c r="A25" s="881">
        <v>5277</v>
      </c>
      <c r="B25" s="12" t="s">
        <v>206</v>
      </c>
      <c r="C25" s="13">
        <f>+'422 Maintenance'!C22</f>
        <v>0</v>
      </c>
      <c r="D25" s="13">
        <f>+'422 Maintenance'!D22</f>
        <v>0</v>
      </c>
      <c r="E25" s="13">
        <f>+'422 Maintenance'!E22</f>
        <v>0</v>
      </c>
      <c r="F25" s="13">
        <f>+'422 Maintenance'!F22</f>
        <v>0</v>
      </c>
      <c r="G25" s="13">
        <f>+'422 Maintenance'!G22</f>
        <v>0</v>
      </c>
      <c r="H25" s="13">
        <f>+'422 Maintenance'!H22</f>
        <v>0</v>
      </c>
      <c r="I25" s="13">
        <f>+'422 Maintenance'!I22</f>
        <v>0</v>
      </c>
      <c r="J25" s="13">
        <f>+'422 Maintenance'!J22</f>
        <v>0</v>
      </c>
      <c r="K25" s="42">
        <f>+'422 Maintenance'!K22</f>
        <v>0</v>
      </c>
      <c r="L25" s="13">
        <f>+'422 Maintenance'!L22</f>
        <v>0</v>
      </c>
      <c r="M25" s="42">
        <f>+'422 Maintenance'!M22</f>
        <v>0</v>
      </c>
      <c r="N25" s="13">
        <f>+'422 Maintenance'!N22</f>
        <v>0</v>
      </c>
      <c r="O25" s="42">
        <f>+'422 Maintenance'!O22</f>
        <v>0</v>
      </c>
      <c r="P25" s="42">
        <f>+'422 Maintenance'!P22</f>
        <v>0</v>
      </c>
    </row>
    <row r="26" spans="1:16" x14ac:dyDescent="0.25">
      <c r="A26" s="881">
        <v>5278</v>
      </c>
      <c r="B26" s="12" t="s">
        <v>1174</v>
      </c>
      <c r="C26" s="13">
        <f>+'422 Maintenance'!C23</f>
        <v>6254.36</v>
      </c>
      <c r="D26" s="13">
        <f>+'422 Maintenance'!D23</f>
        <v>7210.2</v>
      </c>
      <c r="E26" s="13">
        <f>+'422 Maintenance'!E23</f>
        <v>7337.82</v>
      </c>
      <c r="F26" s="13">
        <f>+'422 Maintenance'!F23</f>
        <v>9576.67</v>
      </c>
      <c r="G26" s="13">
        <f>+'422 Maintenance'!G23</f>
        <v>11297.29</v>
      </c>
      <c r="H26" s="13">
        <f>+'422 Maintenance'!H23</f>
        <v>10913.81</v>
      </c>
      <c r="I26" s="13">
        <f>+'422 Maintenance'!I23</f>
        <v>12262.49</v>
      </c>
      <c r="J26" s="13">
        <f>+'422 Maintenance'!J23</f>
        <v>9959.7000000000007</v>
      </c>
      <c r="K26" s="42">
        <f>+'422 Maintenance'!K23</f>
        <v>0</v>
      </c>
      <c r="L26" s="13">
        <f>+'422 Maintenance'!L23</f>
        <v>0</v>
      </c>
      <c r="M26" s="42">
        <f>+'422 Maintenance'!M23</f>
        <v>0</v>
      </c>
      <c r="N26" s="13">
        <f>+'422 Maintenance'!N23</f>
        <v>0</v>
      </c>
      <c r="O26" s="42">
        <f>+'422 Maintenance'!O23</f>
        <v>0</v>
      </c>
      <c r="P26" s="42">
        <f>+'422 Maintenance'!P23</f>
        <v>0</v>
      </c>
    </row>
    <row r="27" spans="1:16" x14ac:dyDescent="0.25">
      <c r="A27" s="881">
        <v>5310</v>
      </c>
      <c r="B27" s="12" t="s">
        <v>204</v>
      </c>
      <c r="C27" s="13">
        <f>+'422 Maintenance'!C24</f>
        <v>1659.5</v>
      </c>
      <c r="D27" s="13">
        <f>+'422 Maintenance'!D24</f>
        <v>1863</v>
      </c>
      <c r="E27" s="13">
        <f>+'422 Maintenance'!E24</f>
        <v>1535</v>
      </c>
      <c r="F27" s="13">
        <f>+'422 Maintenance'!F24</f>
        <v>1775.1</v>
      </c>
      <c r="G27" s="13">
        <f>+'422 Maintenance'!G24</f>
        <v>2491</v>
      </c>
      <c r="H27" s="13">
        <f>+'422 Maintenance'!H24</f>
        <v>10389.34</v>
      </c>
      <c r="I27" s="13">
        <f>+'422 Maintenance'!I24</f>
        <v>5775</v>
      </c>
      <c r="J27" s="13">
        <f>+'422 Maintenance'!J24</f>
        <v>4765</v>
      </c>
      <c r="K27" s="42">
        <f>+'422 Maintenance'!K24</f>
        <v>5000</v>
      </c>
      <c r="L27" s="13">
        <f>+'422 Maintenance'!L24</f>
        <v>3778</v>
      </c>
      <c r="M27" s="42">
        <f>+'422 Maintenance'!M24</f>
        <v>5000</v>
      </c>
      <c r="N27" s="13">
        <f>+'422 Maintenance'!N24</f>
        <v>1411</v>
      </c>
      <c r="O27" s="42">
        <f>+'422 Maintenance'!O24</f>
        <v>5000</v>
      </c>
      <c r="P27" s="42">
        <f>+'422 Maintenance'!P24</f>
        <v>0</v>
      </c>
    </row>
    <row r="28" spans="1:16" x14ac:dyDescent="0.25">
      <c r="A28" s="881">
        <v>5314</v>
      </c>
      <c r="B28" s="12" t="s">
        <v>139</v>
      </c>
      <c r="C28" s="13">
        <f>+'422 Maintenance'!C25</f>
        <v>35</v>
      </c>
      <c r="D28" s="13">
        <f>+'422 Maintenance'!D25</f>
        <v>65</v>
      </c>
      <c r="E28" s="13">
        <f>+'422 Maintenance'!E25</f>
        <v>80</v>
      </c>
      <c r="F28" s="13">
        <f>+'422 Maintenance'!F25</f>
        <v>100</v>
      </c>
      <c r="G28" s="13">
        <f>+'422 Maintenance'!G25</f>
        <v>2040</v>
      </c>
      <c r="H28" s="13">
        <f>+'422 Maintenance'!H25</f>
        <v>40</v>
      </c>
      <c r="I28" s="13">
        <f>+'422 Maintenance'!I25</f>
        <v>210</v>
      </c>
      <c r="J28" s="13">
        <f>+'422 Maintenance'!J25</f>
        <v>100</v>
      </c>
      <c r="K28" s="42">
        <f>+'422 Maintenance'!K25</f>
        <v>200</v>
      </c>
      <c r="L28" s="13">
        <f>+'422 Maintenance'!L25</f>
        <v>0</v>
      </c>
      <c r="M28" s="42">
        <f>+'422 Maintenance'!M25</f>
        <v>200</v>
      </c>
      <c r="N28" s="13">
        <f>+'422 Maintenance'!N25</f>
        <v>1250</v>
      </c>
      <c r="O28" s="42">
        <f>+'422 Maintenance'!O25</f>
        <v>200</v>
      </c>
      <c r="P28" s="42">
        <f>+'422 Maintenance'!P25</f>
        <v>0</v>
      </c>
    </row>
    <row r="29" spans="1:16" x14ac:dyDescent="0.25">
      <c r="A29" s="881">
        <v>5315</v>
      </c>
      <c r="B29" s="12" t="s">
        <v>132</v>
      </c>
      <c r="C29" s="13">
        <f>+'422 Maintenance'!C26</f>
        <v>24208.71</v>
      </c>
      <c r="D29" s="13">
        <f>+'422 Maintenance'!D26</f>
        <v>21600.63</v>
      </c>
      <c r="E29" s="13">
        <f>+'422 Maintenance'!E26</f>
        <v>27572.84</v>
      </c>
      <c r="F29" s="13">
        <f>+'422 Maintenance'!F26</f>
        <v>29246.78</v>
      </c>
      <c r="G29" s="13">
        <f>+'422 Maintenance'!G26</f>
        <v>20041.039999999997</v>
      </c>
      <c r="H29" s="13">
        <f>+'422 Maintenance'!H26</f>
        <v>14179.400000000001</v>
      </c>
      <c r="I29" s="13">
        <f>+'422 Maintenance'!I26</f>
        <v>22930.35</v>
      </c>
      <c r="J29" s="13">
        <f>+'422 Maintenance'!J26</f>
        <v>10841.6</v>
      </c>
      <c r="K29" s="42">
        <f>+'422 Maintenance'!K26</f>
        <v>18000</v>
      </c>
      <c r="L29" s="13">
        <f>+'422 Maintenance'!L26</f>
        <v>29457.1</v>
      </c>
      <c r="M29" s="42">
        <f>+'422 Maintenance'!M26</f>
        <v>18000</v>
      </c>
      <c r="N29" s="13">
        <f>+'422 Maintenance'!N26</f>
        <v>8964.14</v>
      </c>
      <c r="O29" s="42">
        <f>+'422 Maintenance'!O26</f>
        <v>18500</v>
      </c>
      <c r="P29" s="42">
        <f>+'422 Maintenance'!P26</f>
        <v>0</v>
      </c>
    </row>
    <row r="30" spans="1:16" x14ac:dyDescent="0.25">
      <c r="A30" s="881">
        <v>5320</v>
      </c>
      <c r="B30" s="12" t="s">
        <v>1258</v>
      </c>
      <c r="C30" s="13"/>
      <c r="D30" s="13"/>
      <c r="E30" s="13"/>
      <c r="F30" s="13"/>
      <c r="G30" s="13"/>
      <c r="H30" s="13"/>
      <c r="I30" s="13">
        <f>+'422 Maintenance'!I27</f>
        <v>19083.580000000002</v>
      </c>
      <c r="J30" s="13">
        <f>+'422 Maintenance'!J27</f>
        <v>27622.11</v>
      </c>
      <c r="K30" s="42">
        <f>+'422 Maintenance'!K27</f>
        <v>22000</v>
      </c>
      <c r="L30" s="13">
        <f>+'422 Maintenance'!L27</f>
        <v>25903.26</v>
      </c>
      <c r="M30" s="42">
        <f>+'422 Maintenance'!M27</f>
        <v>28000</v>
      </c>
      <c r="N30" s="42">
        <f>+'422 Maintenance'!N27</f>
        <v>23797.75</v>
      </c>
      <c r="O30" s="42">
        <f>+'422 Maintenance'!O27</f>
        <v>28000</v>
      </c>
      <c r="P30" s="42"/>
    </row>
    <row r="31" spans="1:16" x14ac:dyDescent="0.25">
      <c r="A31" s="881">
        <v>5341</v>
      </c>
      <c r="B31" s="12" t="s">
        <v>1175</v>
      </c>
      <c r="C31" s="13">
        <f>+'422 Maintenance'!C28</f>
        <v>3078.49</v>
      </c>
      <c r="D31" s="13">
        <f>+'422 Maintenance'!D28</f>
        <v>3210.87</v>
      </c>
      <c r="E31" s="13">
        <f>+'422 Maintenance'!E28</f>
        <v>3419.12</v>
      </c>
      <c r="F31" s="13">
        <f>+'422 Maintenance'!F28</f>
        <v>3544.05</v>
      </c>
      <c r="G31" s="13">
        <f>+'422 Maintenance'!G28</f>
        <v>3468.11</v>
      </c>
      <c r="H31" s="13">
        <f>+'422 Maintenance'!H28</f>
        <v>1848.31</v>
      </c>
      <c r="I31" s="13">
        <f>+'422 Maintenance'!I28</f>
        <v>1750.2</v>
      </c>
      <c r="J31" s="13">
        <f>+'422 Maintenance'!J28</f>
        <v>1771.2</v>
      </c>
      <c r="K31" s="42">
        <f>+'422 Maintenance'!K28</f>
        <v>3500</v>
      </c>
      <c r="L31" s="13">
        <f>+'422 Maintenance'!L28</f>
        <v>2094.5300000000002</v>
      </c>
      <c r="M31" s="42">
        <f>+'422 Maintenance'!M28</f>
        <v>3500</v>
      </c>
      <c r="N31" s="13">
        <f>+'422 Maintenance'!N28</f>
        <v>827.4</v>
      </c>
      <c r="O31" s="42">
        <f>+'422 Maintenance'!O28</f>
        <v>3000</v>
      </c>
      <c r="P31" s="42">
        <f>+'422 Maintenance'!P28</f>
        <v>0</v>
      </c>
    </row>
    <row r="32" spans="1:16" x14ac:dyDescent="0.25">
      <c r="A32" s="881">
        <v>5344</v>
      </c>
      <c r="B32" s="12" t="s">
        <v>142</v>
      </c>
      <c r="C32" s="13">
        <f>+'422 Maintenance'!C29</f>
        <v>60.4</v>
      </c>
      <c r="D32" s="13">
        <f>+'422 Maintenance'!D29</f>
        <v>78.47</v>
      </c>
      <c r="E32" s="13">
        <f>+'422 Maintenance'!E29</f>
        <v>55</v>
      </c>
      <c r="F32" s="13">
        <f>+'422 Maintenance'!F29</f>
        <v>28.15</v>
      </c>
      <c r="G32" s="13">
        <f>+'422 Maintenance'!G29</f>
        <v>20.82</v>
      </c>
      <c r="H32" s="13">
        <f>+'422 Maintenance'!H29</f>
        <v>58.25</v>
      </c>
      <c r="I32" s="13">
        <f>+'422 Maintenance'!I29</f>
        <v>31.22</v>
      </c>
      <c r="J32" s="13">
        <f>+'422 Maintenance'!J29</f>
        <v>22</v>
      </c>
      <c r="K32" s="42">
        <f>+'422 Maintenance'!K29</f>
        <v>100</v>
      </c>
      <c r="L32" s="13">
        <f>+'422 Maintenance'!L29</f>
        <v>17.47</v>
      </c>
      <c r="M32" s="42">
        <f>+'422 Maintenance'!M29</f>
        <v>100</v>
      </c>
      <c r="N32" s="13">
        <f>+'422 Maintenance'!N29</f>
        <v>22</v>
      </c>
      <c r="O32" s="42">
        <f>+'422 Maintenance'!O29</f>
        <v>100</v>
      </c>
      <c r="P32" s="42">
        <f>+'422 Maintenance'!P29</f>
        <v>0</v>
      </c>
    </row>
    <row r="33" spans="1:16" x14ac:dyDescent="0.25">
      <c r="A33" s="881">
        <v>5345</v>
      </c>
      <c r="B33" s="12" t="s">
        <v>143</v>
      </c>
      <c r="C33" s="13">
        <f>+'422 Maintenance'!C30</f>
        <v>50.81</v>
      </c>
      <c r="D33" s="13">
        <f>+'422 Maintenance'!D30</f>
        <v>237.71</v>
      </c>
      <c r="E33" s="13">
        <f>+'422 Maintenance'!E30</f>
        <v>835.56</v>
      </c>
      <c r="F33" s="13">
        <f>+'422 Maintenance'!F30</f>
        <v>1284.3399999999999</v>
      </c>
      <c r="G33" s="13">
        <f>+'422 Maintenance'!G30</f>
        <v>1533.36</v>
      </c>
      <c r="H33" s="13">
        <f>+'422 Maintenance'!H30</f>
        <v>1075.22</v>
      </c>
      <c r="I33" s="13">
        <f>+'422 Maintenance'!I30</f>
        <v>3390.59</v>
      </c>
      <c r="J33" s="13">
        <f>+'422 Maintenance'!J30</f>
        <v>1518.32</v>
      </c>
      <c r="K33" s="42">
        <f>+'422 Maintenance'!K30</f>
        <v>2500</v>
      </c>
      <c r="L33" s="13">
        <f>+'422 Maintenance'!L30</f>
        <v>1531.24</v>
      </c>
      <c r="M33" s="42">
        <f>+'422 Maintenance'!M30</f>
        <v>2500</v>
      </c>
      <c r="N33" s="13">
        <f>+'422 Maintenance'!N30</f>
        <v>591.6</v>
      </c>
      <c r="O33" s="42">
        <f>+'422 Maintenance'!O30</f>
        <v>2500</v>
      </c>
      <c r="P33" s="42">
        <f>+'422 Maintenance'!P30</f>
        <v>0</v>
      </c>
    </row>
    <row r="34" spans="1:16" x14ac:dyDescent="0.25">
      <c r="A34" s="881">
        <v>5420</v>
      </c>
      <c r="B34" s="12" t="s">
        <v>144</v>
      </c>
      <c r="C34" s="18">
        <f>+'422 Maintenance'!C31</f>
        <v>965.81</v>
      </c>
      <c r="D34" s="18">
        <f>+'422 Maintenance'!D31</f>
        <v>694.26</v>
      </c>
      <c r="E34" s="18">
        <f>+'422 Maintenance'!E31</f>
        <v>1611.93</v>
      </c>
      <c r="F34" s="18">
        <f>+'422 Maintenance'!F31</f>
        <v>1141.1500000000001</v>
      </c>
      <c r="G34" s="18">
        <f>+'422 Maintenance'!G31</f>
        <v>953.7</v>
      </c>
      <c r="H34" s="18">
        <f>+'422 Maintenance'!H31</f>
        <v>1938.24</v>
      </c>
      <c r="I34" s="18">
        <f>+'422 Maintenance'!I31</f>
        <v>1793.4</v>
      </c>
      <c r="J34" s="18">
        <f>+'422 Maintenance'!J31</f>
        <v>861.64</v>
      </c>
      <c r="K34" s="36">
        <f>+'422 Maintenance'!K31</f>
        <v>1750</v>
      </c>
      <c r="L34" s="18">
        <f>+'422 Maintenance'!L31</f>
        <v>2708.1</v>
      </c>
      <c r="M34" s="36">
        <f>+'422 Maintenance'!M31</f>
        <v>4000</v>
      </c>
      <c r="N34" s="18">
        <f>+'422 Maintenance'!N31</f>
        <v>1214.23</v>
      </c>
      <c r="O34" s="36">
        <f>+'422 Maintenance'!O31</f>
        <v>3500</v>
      </c>
      <c r="P34" s="36">
        <f>+'422 Maintenance'!P31</f>
        <v>0</v>
      </c>
    </row>
    <row r="35" spans="1:16" x14ac:dyDescent="0.25">
      <c r="A35" s="881">
        <v>5430</v>
      </c>
      <c r="B35" s="12" t="s">
        <v>377</v>
      </c>
      <c r="C35" s="13">
        <f>+'192 Public Bldgs'!C18+'422 Maintenance'!C32</f>
        <v>2626.15</v>
      </c>
      <c r="D35" s="13">
        <f>+'192 Public Bldgs'!D18+'422 Maintenance'!D32</f>
        <v>2970.4399999999996</v>
      </c>
      <c r="E35" s="13">
        <f>+'192 Public Bldgs'!E18+'422 Maintenance'!E32</f>
        <v>1967.79</v>
      </c>
      <c r="F35" s="13">
        <f>+'192 Public Bldgs'!F18+'422 Maintenance'!F32</f>
        <v>2444.42</v>
      </c>
      <c r="G35" s="13">
        <f>+'192 Public Bldgs'!G18+'422 Maintenance'!G32</f>
        <v>6742.5399999999991</v>
      </c>
      <c r="H35" s="13">
        <f>+'192 Public Bldgs'!H18+'422 Maintenance'!H32</f>
        <v>3466.7300000000005</v>
      </c>
      <c r="I35" s="13">
        <f>+'192 Public Bldgs'!I18+'422 Maintenance'!I32</f>
        <v>2579.1600000000003</v>
      </c>
      <c r="J35" s="13">
        <f>+'192 Public Bldgs'!J18+'422 Maintenance'!J32</f>
        <v>3482.2000000000003</v>
      </c>
      <c r="K35" s="42">
        <f>+'192 Public Bldgs'!K18+'422 Maintenance'!K32</f>
        <v>6500</v>
      </c>
      <c r="L35" s="13">
        <f>+'192 Public Bldgs'!L18+'422 Maintenance'!L32</f>
        <v>1496.88</v>
      </c>
      <c r="M35" s="42">
        <f>+'192 Public Bldgs'!M18+'422 Maintenance'!M32</f>
        <v>6500</v>
      </c>
      <c r="N35" s="13">
        <f>+'192 Public Bldgs'!N18+'422 Maintenance'!N32</f>
        <v>3405.94</v>
      </c>
      <c r="O35" s="42">
        <f>+'192 Public Bldgs'!O18+'422 Maintenance'!O32</f>
        <v>5500</v>
      </c>
      <c r="P35" s="42">
        <f>+'192 Public Bldgs'!P18+'422 Maintenance'!P32</f>
        <v>0</v>
      </c>
    </row>
    <row r="36" spans="1:16" x14ac:dyDescent="0.25">
      <c r="A36" s="881">
        <v>5432</v>
      </c>
      <c r="B36" s="12" t="s">
        <v>199</v>
      </c>
      <c r="C36" s="13">
        <f>+'422 Maintenance'!C33</f>
        <v>37.119999999999997</v>
      </c>
      <c r="D36" s="13">
        <f>+'422 Maintenance'!D33</f>
        <v>13.95</v>
      </c>
      <c r="E36" s="13">
        <f>+'422 Maintenance'!E33</f>
        <v>0</v>
      </c>
      <c r="F36" s="13">
        <f>+'422 Maintenance'!F33</f>
        <v>55.85</v>
      </c>
      <c r="G36" s="13">
        <f>+'422 Maintenance'!G33</f>
        <v>0</v>
      </c>
      <c r="H36" s="13">
        <f>+'422 Maintenance'!H33</f>
        <v>0</v>
      </c>
      <c r="I36" s="13">
        <f>+'422 Maintenance'!I33</f>
        <v>0</v>
      </c>
      <c r="J36" s="13">
        <f>+'422 Maintenance'!J33</f>
        <v>0</v>
      </c>
      <c r="K36" s="42">
        <f>+'422 Maintenance'!K33</f>
        <v>0</v>
      </c>
      <c r="L36" s="13">
        <f>+'422 Maintenance'!L33</f>
        <v>0</v>
      </c>
      <c r="M36" s="42">
        <f>+'422 Maintenance'!M33</f>
        <v>0</v>
      </c>
      <c r="N36" s="13">
        <f>+'422 Maintenance'!N33</f>
        <v>0</v>
      </c>
      <c r="O36" s="42">
        <f>+'422 Maintenance'!O33</f>
        <v>0</v>
      </c>
      <c r="P36" s="42">
        <f>+'422 Maintenance'!P33</f>
        <v>0</v>
      </c>
    </row>
    <row r="37" spans="1:16" x14ac:dyDescent="0.25">
      <c r="A37" s="881">
        <v>5435</v>
      </c>
      <c r="B37" s="12" t="s">
        <v>200</v>
      </c>
      <c r="C37" s="13">
        <f>+'422 Maintenance'!C34</f>
        <v>2223.06</v>
      </c>
      <c r="D37" s="13">
        <f>+'422 Maintenance'!D34</f>
        <v>1519.3</v>
      </c>
      <c r="E37" s="13">
        <f>+'422 Maintenance'!E34</f>
        <v>2230.3200000000002</v>
      </c>
      <c r="F37" s="13">
        <f>+'422 Maintenance'!F34</f>
        <v>3011.96</v>
      </c>
      <c r="G37" s="13">
        <f>+'422 Maintenance'!G34</f>
        <v>2113.88</v>
      </c>
      <c r="H37" s="13">
        <f>+'422 Maintenance'!H34</f>
        <v>6885.49</v>
      </c>
      <c r="I37" s="13">
        <f>+'422 Maintenance'!I34</f>
        <v>3971.26</v>
      </c>
      <c r="J37" s="13">
        <f>+'422 Maintenance'!J34</f>
        <v>9171.73</v>
      </c>
      <c r="K37" s="42">
        <f>+'422 Maintenance'!K34</f>
        <v>5000</v>
      </c>
      <c r="L37" s="13">
        <f>+'422 Maintenance'!L34</f>
        <v>2848.01</v>
      </c>
      <c r="M37" s="42">
        <f>+'422 Maintenance'!M34</f>
        <v>5000</v>
      </c>
      <c r="N37" s="13">
        <f>+'422 Maintenance'!N34</f>
        <v>2460.56</v>
      </c>
      <c r="O37" s="42">
        <f>+'422 Maintenance'!O34</f>
        <v>5000</v>
      </c>
      <c r="P37" s="42">
        <f>+'422 Maintenance'!P34</f>
        <v>0</v>
      </c>
    </row>
    <row r="38" spans="1:16" x14ac:dyDescent="0.25">
      <c r="A38" s="881">
        <v>5440</v>
      </c>
      <c r="B38" s="12" t="s">
        <v>207</v>
      </c>
      <c r="C38" s="13">
        <f>+'422 Maintenance'!C35</f>
        <v>4022.66</v>
      </c>
      <c r="D38" s="13">
        <f>+'422 Maintenance'!D35</f>
        <v>4443.3500000000004</v>
      </c>
      <c r="E38" s="13">
        <f>+'422 Maintenance'!E35</f>
        <v>6122.27</v>
      </c>
      <c r="F38" s="13">
        <f>+'422 Maintenance'!F35</f>
        <v>4464.0600000000004</v>
      </c>
      <c r="G38" s="13">
        <f>+'422 Maintenance'!G35</f>
        <v>2584.31</v>
      </c>
      <c r="H38" s="13">
        <f>+'422 Maintenance'!H35</f>
        <v>8262.68</v>
      </c>
      <c r="I38" s="13">
        <f>+'422 Maintenance'!I35</f>
        <v>5721.25</v>
      </c>
      <c r="J38" s="13">
        <f>+'422 Maintenance'!J35</f>
        <v>9061.2199999999993</v>
      </c>
      <c r="K38" s="42">
        <f>+'422 Maintenance'!K35</f>
        <v>7000</v>
      </c>
      <c r="L38" s="13">
        <f>+'422 Maintenance'!L35</f>
        <v>6192.19</v>
      </c>
      <c r="M38" s="42">
        <f>+'422 Maintenance'!M35</f>
        <v>8000</v>
      </c>
      <c r="N38" s="13">
        <f>+'422 Maintenance'!N35</f>
        <v>1794.65</v>
      </c>
      <c r="O38" s="42">
        <f>+'422 Maintenance'!O35</f>
        <v>8000</v>
      </c>
      <c r="P38" s="42">
        <f>+'422 Maintenance'!P35</f>
        <v>0</v>
      </c>
    </row>
    <row r="39" spans="1:16" x14ac:dyDescent="0.25">
      <c r="A39" s="881">
        <v>5443</v>
      </c>
      <c r="B39" s="12" t="s">
        <v>201</v>
      </c>
      <c r="C39" s="13">
        <f>+'192 Public Bldgs'!C19+'422 Maintenance'!C36+'652 Parks'!C16</f>
        <v>21800.489999999998</v>
      </c>
      <c r="D39" s="13">
        <f>+'192 Public Bldgs'!D19+'422 Maintenance'!D36+'652 Parks'!D16</f>
        <v>26072.620000000003</v>
      </c>
      <c r="E39" s="13">
        <f>+'192 Public Bldgs'!E19+'422 Maintenance'!E36+'652 Parks'!E16</f>
        <v>25671.309999999998</v>
      </c>
      <c r="F39" s="13">
        <f>+'192 Public Bldgs'!F19+'422 Maintenance'!F36+'652 Parks'!F16</f>
        <v>53738</v>
      </c>
      <c r="G39" s="13">
        <f>+'192 Public Bldgs'!G19+'422 Maintenance'!G36+'652 Parks'!G16</f>
        <v>31883.269999999997</v>
      </c>
      <c r="H39" s="13">
        <f>+'192 Public Bldgs'!H19+'422 Maintenance'!H36+'652 Parks'!H16</f>
        <v>44588.79</v>
      </c>
      <c r="I39" s="13">
        <f>+'192 Public Bldgs'!I19+'422 Maintenance'!I36+'652 Parks'!I16</f>
        <v>38715.33</v>
      </c>
      <c r="J39" s="13">
        <f>+'192 Public Bldgs'!J19+'422 Maintenance'!J36+'652 Parks'!J16</f>
        <v>56626.25</v>
      </c>
      <c r="K39" s="42">
        <f>+'192 Public Bldgs'!K19+'422 Maintenance'!K36+'652 Parks'!K16</f>
        <v>48000</v>
      </c>
      <c r="L39" s="13">
        <f>+'192 Public Bldgs'!L19+'422 Maintenance'!L36+'652 Parks'!L16</f>
        <v>60340.03</v>
      </c>
      <c r="M39" s="42">
        <f>+'192 Public Bldgs'!M19+'422 Maintenance'!M36+'652 Parks'!M16</f>
        <v>52500</v>
      </c>
      <c r="N39" s="13">
        <f>+'192 Public Bldgs'!N19+'422 Maintenance'!N36+'652 Parks'!N16</f>
        <v>14941.859999999999</v>
      </c>
      <c r="O39" s="42">
        <f>+'192 Public Bldgs'!O19+'422 Maintenance'!O36+'652 Parks'!O16</f>
        <v>70500</v>
      </c>
      <c r="P39" s="42">
        <f>+'192 Public Bldgs'!P19+'422 Maintenance'!P36+'652 Parks'!P16</f>
        <v>0</v>
      </c>
    </row>
    <row r="40" spans="1:16" x14ac:dyDescent="0.25">
      <c r="A40" s="881">
        <v>5451</v>
      </c>
      <c r="B40" s="12" t="s">
        <v>202</v>
      </c>
      <c r="C40" s="13">
        <f>+'192 Public Bldgs'!C21</f>
        <v>5018.82</v>
      </c>
      <c r="D40" s="13">
        <f>+'192 Public Bldgs'!D21</f>
        <v>5254.01</v>
      </c>
      <c r="E40" s="13">
        <f>+'192 Public Bldgs'!E21</f>
        <v>5220.07</v>
      </c>
      <c r="F40" s="13">
        <f>+'192 Public Bldgs'!F21</f>
        <v>4714.6000000000004</v>
      </c>
      <c r="G40" s="13">
        <f>+'192 Public Bldgs'!G21</f>
        <v>7479.13</v>
      </c>
      <c r="H40" s="13">
        <f>+'192 Public Bldgs'!H21</f>
        <v>7438.02</v>
      </c>
      <c r="I40" s="13">
        <f>+'192 Public Bldgs'!I21</f>
        <v>7961.22</v>
      </c>
      <c r="J40" s="13">
        <f>+'192 Public Bldgs'!J21</f>
        <v>7547.15</v>
      </c>
      <c r="K40" s="42">
        <f>+'192 Public Bldgs'!K21</f>
        <v>8000</v>
      </c>
      <c r="L40" s="13">
        <f>+'192 Public Bldgs'!L21</f>
        <v>5319.19</v>
      </c>
      <c r="M40" s="42">
        <f>+'192 Public Bldgs'!M21</f>
        <v>9000</v>
      </c>
      <c r="N40" s="13">
        <f>+'192 Public Bldgs'!N21</f>
        <v>2190.19</v>
      </c>
      <c r="O40" s="42">
        <f>+'192 Public Bldgs'!O21</f>
        <v>8500</v>
      </c>
      <c r="P40" s="42">
        <f>+'192 Public Bldgs'!P21</f>
        <v>0</v>
      </c>
    </row>
    <row r="41" spans="1:16" x14ac:dyDescent="0.25">
      <c r="A41" s="881">
        <v>5460</v>
      </c>
      <c r="B41" s="12" t="s">
        <v>203</v>
      </c>
      <c r="C41" s="13">
        <f>+'652 Parks'!C17</f>
        <v>512</v>
      </c>
      <c r="D41" s="13">
        <f>+'652 Parks'!D17</f>
        <v>2052.3200000000002</v>
      </c>
      <c r="E41" s="13">
        <f>+'652 Parks'!E17</f>
        <v>0</v>
      </c>
      <c r="F41" s="13">
        <f>+'652 Parks'!F17</f>
        <v>40</v>
      </c>
      <c r="G41" s="13">
        <f>+'652 Parks'!G17</f>
        <v>0</v>
      </c>
      <c r="H41" s="13">
        <f>+'652 Parks'!H17</f>
        <v>0</v>
      </c>
      <c r="I41" s="13">
        <f>+'652 Parks'!I17</f>
        <v>0</v>
      </c>
      <c r="J41" s="13">
        <f>+'652 Parks'!J17</f>
        <v>0</v>
      </c>
      <c r="K41" s="42">
        <f>+'652 Parks'!K17</f>
        <v>2000</v>
      </c>
      <c r="L41" s="13">
        <f>+'652 Parks'!L17</f>
        <v>0</v>
      </c>
      <c r="M41" s="42">
        <f>+'652 Parks'!M17</f>
        <v>2000</v>
      </c>
      <c r="N41" s="13">
        <f>+'652 Parks'!N17</f>
        <v>0</v>
      </c>
      <c r="O41" s="42">
        <f>+'652 Parks'!O17</f>
        <v>2000</v>
      </c>
      <c r="P41" s="42">
        <f>+'652 Parks'!P17</f>
        <v>0</v>
      </c>
    </row>
    <row r="42" spans="1:16" x14ac:dyDescent="0.25">
      <c r="A42" s="881">
        <v>5481</v>
      </c>
      <c r="B42" s="12" t="s">
        <v>170</v>
      </c>
      <c r="C42" s="13">
        <f>+'422 Maintenance'!C37</f>
        <v>23072.400000000001</v>
      </c>
      <c r="D42" s="13">
        <f>+'422 Maintenance'!D37</f>
        <v>32924.959999999999</v>
      </c>
      <c r="E42" s="13">
        <f>+'422 Maintenance'!E37</f>
        <v>27697.48</v>
      </c>
      <c r="F42" s="13">
        <f>+'422 Maintenance'!F37</f>
        <v>18370.16</v>
      </c>
      <c r="G42" s="13">
        <f>+'422 Maintenance'!G37</f>
        <v>11746.54</v>
      </c>
      <c r="H42" s="13">
        <f>+'422 Maintenance'!H37</f>
        <v>27057.85</v>
      </c>
      <c r="I42" s="13">
        <f>+'422 Maintenance'!I37</f>
        <v>32961.730000000003</v>
      </c>
      <c r="J42" s="13">
        <f>+'422 Maintenance'!J37</f>
        <v>24671.91</v>
      </c>
      <c r="K42" s="42">
        <f>+'422 Maintenance'!K37</f>
        <v>45000</v>
      </c>
      <c r="L42" s="13">
        <f>+'422 Maintenance'!L37</f>
        <v>18138.169999999998</v>
      </c>
      <c r="M42" s="42">
        <f>+'422 Maintenance'!M37</f>
        <v>45000</v>
      </c>
      <c r="N42" s="13">
        <f>+'422 Maintenance'!N37</f>
        <v>12194.68</v>
      </c>
      <c r="O42" s="42">
        <f>+'422 Maintenance'!O37</f>
        <v>45000</v>
      </c>
      <c r="P42" s="42">
        <f>+'422 Maintenance'!P37</f>
        <v>0</v>
      </c>
    </row>
    <row r="43" spans="1:16" x14ac:dyDescent="0.25">
      <c r="A43" s="881">
        <v>5482</v>
      </c>
      <c r="B43" s="12" t="s">
        <v>208</v>
      </c>
      <c r="C43" s="13">
        <f>+'422 Maintenance'!C38</f>
        <v>55086.99</v>
      </c>
      <c r="D43" s="13">
        <f>+'422 Maintenance'!D38</f>
        <v>73803.73</v>
      </c>
      <c r="E43" s="13">
        <f>+'422 Maintenance'!E38</f>
        <v>75053.789999999994</v>
      </c>
      <c r="F43" s="13">
        <f>+'422 Maintenance'!F38</f>
        <v>49247.73</v>
      </c>
      <c r="G43" s="13">
        <f>+'422 Maintenance'!G38</f>
        <v>30907.05</v>
      </c>
      <c r="H43" s="13">
        <f>+'422 Maintenance'!H38</f>
        <v>32653.5</v>
      </c>
      <c r="I43" s="13">
        <f>+'422 Maintenance'!I38</f>
        <v>50089.25</v>
      </c>
      <c r="J43" s="13">
        <f>+'422 Maintenance'!J38</f>
        <v>42648.88</v>
      </c>
      <c r="K43" s="42">
        <f>+'422 Maintenance'!K38</f>
        <v>60000</v>
      </c>
      <c r="L43" s="13">
        <f>+'422 Maintenance'!L38</f>
        <v>20446</v>
      </c>
      <c r="M43" s="42">
        <f>+'422 Maintenance'!M38</f>
        <v>53000</v>
      </c>
      <c r="N43" s="13">
        <f>+'422 Maintenance'!N38</f>
        <v>18525</v>
      </c>
      <c r="O43" s="42">
        <f>+'422 Maintenance'!O38</f>
        <v>53000</v>
      </c>
      <c r="P43" s="42">
        <f>+'422 Maintenance'!P38</f>
        <v>0</v>
      </c>
    </row>
    <row r="44" spans="1:16" x14ac:dyDescent="0.25">
      <c r="A44" s="881">
        <v>5484</v>
      </c>
      <c r="B44" s="12" t="s">
        <v>335</v>
      </c>
      <c r="C44" s="13">
        <f>+'422 Maintenance'!C39</f>
        <v>41019.53</v>
      </c>
      <c r="D44" s="13">
        <f>+'422 Maintenance'!D39</f>
        <v>46732</v>
      </c>
      <c r="E44" s="13">
        <f>+'422 Maintenance'!E39</f>
        <v>75705.59</v>
      </c>
      <c r="F44" s="13">
        <f>+'422 Maintenance'!F39</f>
        <v>71319.490000000005</v>
      </c>
      <c r="G44" s="13">
        <f>+'422 Maintenance'!G39</f>
        <v>70335.48</v>
      </c>
      <c r="H44" s="13">
        <f>+'422 Maintenance'!H39</f>
        <v>78729.27</v>
      </c>
      <c r="I44" s="13">
        <f>+'422 Maintenance'!I39</f>
        <v>89573.71</v>
      </c>
      <c r="J44" s="13">
        <f>+'422 Maintenance'!J39</f>
        <v>93738.67</v>
      </c>
      <c r="K44" s="42">
        <f>+'422 Maintenance'!K39</f>
        <v>80000</v>
      </c>
      <c r="L44" s="13">
        <f>+'422 Maintenance'!L39</f>
        <v>79364.2</v>
      </c>
      <c r="M44" s="42">
        <f>+'422 Maintenance'!M39</f>
        <v>85000</v>
      </c>
      <c r="N44" s="13">
        <f>+'422 Maintenance'!N39</f>
        <v>52738.65</v>
      </c>
      <c r="O44" s="42">
        <f>+'422 Maintenance'!O39</f>
        <v>85000</v>
      </c>
      <c r="P44" s="42">
        <f>+'422 Maintenance'!P39</f>
        <v>0</v>
      </c>
    </row>
    <row r="45" spans="1:16" x14ac:dyDescent="0.25">
      <c r="A45" s="881">
        <v>5500</v>
      </c>
      <c r="B45" s="12" t="s">
        <v>171</v>
      </c>
      <c r="C45" s="13">
        <f>+'422 Maintenance'!C40</f>
        <v>0</v>
      </c>
      <c r="D45" s="13">
        <f>+'422 Maintenance'!D40</f>
        <v>0</v>
      </c>
      <c r="E45" s="13">
        <f>+'422 Maintenance'!E40</f>
        <v>11.94</v>
      </c>
      <c r="F45" s="13">
        <f>+'422 Maintenance'!F40</f>
        <v>0</v>
      </c>
      <c r="G45" s="13">
        <f>+'422 Maintenance'!G40</f>
        <v>0</v>
      </c>
      <c r="H45" s="13">
        <f>+'422 Maintenance'!H40</f>
        <v>0</v>
      </c>
      <c r="I45" s="13">
        <f>+'422 Maintenance'!I40</f>
        <v>127.13</v>
      </c>
      <c r="J45" s="13">
        <f>+'422 Maintenance'!J40</f>
        <v>947.82</v>
      </c>
      <c r="K45" s="42">
        <f>+'422 Maintenance'!K40</f>
        <v>150</v>
      </c>
      <c r="L45" s="13">
        <f>+'422 Maintenance'!L40</f>
        <v>381.74</v>
      </c>
      <c r="M45" s="42">
        <f>+'422 Maintenance'!M40</f>
        <v>150</v>
      </c>
      <c r="N45" s="13">
        <f>+'422 Maintenance'!N40</f>
        <v>24.18</v>
      </c>
      <c r="O45" s="42">
        <f>+'422 Maintenance'!O40</f>
        <v>150</v>
      </c>
      <c r="P45" s="42">
        <f>+'422 Maintenance'!P40</f>
        <v>0</v>
      </c>
    </row>
    <row r="46" spans="1:16" x14ac:dyDescent="0.25">
      <c r="A46" s="881">
        <v>5530</v>
      </c>
      <c r="B46" s="12" t="s">
        <v>209</v>
      </c>
      <c r="C46" s="13">
        <f>+'422 Maintenance'!C41</f>
        <v>43029.4</v>
      </c>
      <c r="D46" s="13">
        <f>+'422 Maintenance'!D41</f>
        <v>45445.69</v>
      </c>
      <c r="E46" s="13">
        <f>+'422 Maintenance'!E41</f>
        <v>36322.94</v>
      </c>
      <c r="F46" s="13">
        <f>+'422 Maintenance'!F41</f>
        <v>43379.03</v>
      </c>
      <c r="G46" s="13">
        <f>+'422 Maintenance'!G41</f>
        <v>24572.81</v>
      </c>
      <c r="H46" s="13">
        <f>+'422 Maintenance'!H41</f>
        <v>31418.53</v>
      </c>
      <c r="I46" s="13">
        <f>+'422 Maintenance'!I41</f>
        <v>30491.41</v>
      </c>
      <c r="J46" s="13">
        <f>+'422 Maintenance'!J41</f>
        <v>29182.49</v>
      </c>
      <c r="K46" s="42">
        <f>+'422 Maintenance'!K41</f>
        <v>55000</v>
      </c>
      <c r="L46" s="13">
        <f>+'422 Maintenance'!L41</f>
        <v>47021.23</v>
      </c>
      <c r="M46" s="42">
        <f>+'422 Maintenance'!M41</f>
        <v>55000</v>
      </c>
      <c r="N46" s="13">
        <f>+'422 Maintenance'!N41</f>
        <v>39581.94</v>
      </c>
      <c r="O46" s="42">
        <f>+'422 Maintenance'!O41</f>
        <v>71500</v>
      </c>
      <c r="P46" s="248">
        <f>+'422 Maintenance'!P41</f>
        <v>0</v>
      </c>
    </row>
    <row r="47" spans="1:16" x14ac:dyDescent="0.25">
      <c r="A47" s="881">
        <v>5534</v>
      </c>
      <c r="B47" s="12" t="s">
        <v>210</v>
      </c>
      <c r="C47" s="13">
        <f>+'422 Maintenance'!C42</f>
        <v>125</v>
      </c>
      <c r="D47" s="13">
        <f>+'422 Maintenance'!D42</f>
        <v>0</v>
      </c>
      <c r="E47" s="13">
        <f>+'422 Maintenance'!E42</f>
        <v>0</v>
      </c>
      <c r="F47" s="13">
        <f>+'422 Maintenance'!F42</f>
        <v>0</v>
      </c>
      <c r="G47" s="13">
        <f>+'422 Maintenance'!G42</f>
        <v>0</v>
      </c>
      <c r="H47" s="13">
        <f>+'422 Maintenance'!H42</f>
        <v>0</v>
      </c>
      <c r="I47" s="13">
        <f>+'422 Maintenance'!I42</f>
        <v>0</v>
      </c>
      <c r="J47" s="13">
        <f>+'422 Maintenance'!J42</f>
        <v>0</v>
      </c>
      <c r="K47" s="42">
        <f>+'422 Maintenance'!K42</f>
        <v>0</v>
      </c>
      <c r="L47" s="13">
        <f>+'422 Maintenance'!L42</f>
        <v>0</v>
      </c>
      <c r="M47" s="42">
        <f>+'422 Maintenance'!M42</f>
        <v>0</v>
      </c>
      <c r="N47" s="13">
        <f>+'422 Maintenance'!N42</f>
        <v>0</v>
      </c>
      <c r="O47" s="42">
        <f>+'422 Maintenance'!O42</f>
        <v>0</v>
      </c>
      <c r="P47" s="42">
        <f>+'422 Maintenance'!P42</f>
        <v>0</v>
      </c>
    </row>
    <row r="48" spans="1:16" x14ac:dyDescent="0.25">
      <c r="A48" s="881">
        <v>5580</v>
      </c>
      <c r="B48" s="12" t="s">
        <v>1001</v>
      </c>
      <c r="C48" s="13"/>
      <c r="D48" s="13"/>
      <c r="E48" s="13"/>
      <c r="F48" s="13"/>
      <c r="G48" s="13"/>
      <c r="H48" s="13">
        <f>+'422 Maintenance'!H43</f>
        <v>0</v>
      </c>
      <c r="I48" s="13">
        <f>+'422 Maintenance'!I43</f>
        <v>12646.36</v>
      </c>
      <c r="J48" s="13">
        <f>+'422 Maintenance'!J43</f>
        <v>0</v>
      </c>
      <c r="K48" s="13">
        <f>+'422 Maintenance'!K43</f>
        <v>0</v>
      </c>
      <c r="L48" s="13">
        <f>+'422 Maintenance'!L43</f>
        <v>0</v>
      </c>
      <c r="M48" s="13">
        <f>+'422 Maintenance'!M43</f>
        <v>0</v>
      </c>
      <c r="N48" s="13">
        <f>+'422 Maintenance'!N43</f>
        <v>0</v>
      </c>
      <c r="O48" s="13">
        <f>+'422 Maintenance'!O43</f>
        <v>0</v>
      </c>
      <c r="P48" s="42"/>
    </row>
    <row r="49" spans="1:22" x14ac:dyDescent="0.25">
      <c r="A49" s="881">
        <v>5582</v>
      </c>
      <c r="B49" s="12" t="s">
        <v>173</v>
      </c>
      <c r="C49" s="13">
        <f>+'422 Maintenance'!C44</f>
        <v>2596.34</v>
      </c>
      <c r="D49" s="13">
        <f>+'422 Maintenance'!D44</f>
        <v>2080.9699999999998</v>
      </c>
      <c r="E49" s="13">
        <f>+'422 Maintenance'!E44</f>
        <v>3880.7</v>
      </c>
      <c r="F49" s="13">
        <f>+'422 Maintenance'!F44</f>
        <v>4245.47</v>
      </c>
      <c r="G49" s="13">
        <f>+'422 Maintenance'!G44</f>
        <v>4901.04</v>
      </c>
      <c r="H49" s="13">
        <f>+'422 Maintenance'!H44</f>
        <v>5798.09</v>
      </c>
      <c r="I49" s="13">
        <f>+'422 Maintenance'!I44</f>
        <v>5887.39</v>
      </c>
      <c r="J49" s="13">
        <f>+'422 Maintenance'!J44</f>
        <v>12423.84</v>
      </c>
      <c r="K49" s="42">
        <f>+'422 Maintenance'!K44</f>
        <v>14000</v>
      </c>
      <c r="L49" s="13">
        <f>+'422 Maintenance'!L44</f>
        <v>13865.13</v>
      </c>
      <c r="M49" s="42">
        <f>+'422 Maintenance'!M44</f>
        <v>14000</v>
      </c>
      <c r="N49" s="13">
        <f>+'422 Maintenance'!N44</f>
        <v>8101.98</v>
      </c>
      <c r="O49" s="42">
        <f>+'422 Maintenance'!O44</f>
        <v>14000</v>
      </c>
      <c r="P49" s="42">
        <f>+'422 Maintenance'!P44</f>
        <v>0</v>
      </c>
    </row>
    <row r="50" spans="1:22" x14ac:dyDescent="0.25">
      <c r="A50" s="881">
        <v>5588</v>
      </c>
      <c r="B50" s="12" t="s">
        <v>214</v>
      </c>
      <c r="C50" s="13">
        <f>+'422 Maintenance'!C45</f>
        <v>0</v>
      </c>
      <c r="D50" s="13">
        <f>+'422 Maintenance'!D45</f>
        <v>0</v>
      </c>
      <c r="E50" s="13">
        <f>+'422 Maintenance'!E45</f>
        <v>0</v>
      </c>
      <c r="F50" s="13">
        <f>+'422 Maintenance'!F45</f>
        <v>0</v>
      </c>
      <c r="G50" s="13">
        <f>+'422 Maintenance'!G45</f>
        <v>164</v>
      </c>
      <c r="H50" s="13">
        <f>+'422 Maintenance'!H45</f>
        <v>0</v>
      </c>
      <c r="I50" s="13">
        <f>+'422 Maintenance'!I45</f>
        <v>0</v>
      </c>
      <c r="J50" s="13">
        <f>+'422 Maintenance'!J45</f>
        <v>0</v>
      </c>
      <c r="K50" s="42">
        <f>+'422 Maintenance'!K45</f>
        <v>1000</v>
      </c>
      <c r="L50" s="13">
        <f>+'422 Maintenance'!L45</f>
        <v>0</v>
      </c>
      <c r="M50" s="42">
        <f>+'422 Maintenance'!M45</f>
        <v>1000</v>
      </c>
      <c r="N50" s="13">
        <f>+'422 Maintenance'!N45</f>
        <v>0</v>
      </c>
      <c r="O50" s="42">
        <f>+'422 Maintenance'!O45</f>
        <v>500</v>
      </c>
      <c r="P50" s="42">
        <f>+'422 Maintenance'!P45</f>
        <v>0</v>
      </c>
    </row>
    <row r="51" spans="1:22" x14ac:dyDescent="0.25">
      <c r="A51" s="881">
        <v>5710</v>
      </c>
      <c r="B51" s="12" t="s">
        <v>535</v>
      </c>
      <c r="C51" s="18">
        <f>+'422 Maintenance'!C46</f>
        <v>44.78</v>
      </c>
      <c r="D51" s="18">
        <f>+'422 Maintenance'!D46</f>
        <v>22.6</v>
      </c>
      <c r="E51" s="18">
        <f>+'422 Maintenance'!E46</f>
        <v>0</v>
      </c>
      <c r="F51" s="18">
        <f>+'422 Maintenance'!F46</f>
        <v>0</v>
      </c>
      <c r="G51" s="18">
        <f>+'422 Maintenance'!G46</f>
        <v>0</v>
      </c>
      <c r="H51" s="18">
        <f>+'422 Maintenance'!H46</f>
        <v>0</v>
      </c>
      <c r="I51" s="18">
        <f>+'422 Maintenance'!I46</f>
        <v>0</v>
      </c>
      <c r="J51" s="18">
        <f>+'422 Maintenance'!J46</f>
        <v>0</v>
      </c>
      <c r="K51" s="36">
        <f>+'422 Maintenance'!K46</f>
        <v>125</v>
      </c>
      <c r="L51" s="18">
        <f>+'422 Maintenance'!L46</f>
        <v>0</v>
      </c>
      <c r="M51" s="36">
        <f>+'422 Maintenance'!M46</f>
        <v>125</v>
      </c>
      <c r="N51" s="18">
        <f>+'422 Maintenance'!N46</f>
        <v>100</v>
      </c>
      <c r="O51" s="36">
        <f>+'422 Maintenance'!O46</f>
        <v>125</v>
      </c>
      <c r="P51" s="36">
        <f>+'422 Maintenance'!P46</f>
        <v>0</v>
      </c>
    </row>
    <row r="52" spans="1:22" x14ac:dyDescent="0.25">
      <c r="A52" s="881">
        <v>5730</v>
      </c>
      <c r="B52" s="12" t="s">
        <v>272</v>
      </c>
      <c r="C52" s="13">
        <f>+'422 Maintenance'!C47</f>
        <v>361</v>
      </c>
      <c r="D52" s="13">
        <f>+'422 Maintenance'!D47</f>
        <v>233</v>
      </c>
      <c r="E52" s="13">
        <f>+'422 Maintenance'!E47</f>
        <v>381</v>
      </c>
      <c r="F52" s="13">
        <f>+'422 Maintenance'!F47</f>
        <v>381</v>
      </c>
      <c r="G52" s="13">
        <f>+'422 Maintenance'!G47</f>
        <v>356</v>
      </c>
      <c r="H52" s="13">
        <f>+'422 Maintenance'!H47</f>
        <v>125</v>
      </c>
      <c r="I52" s="13">
        <f>+'422 Maintenance'!I47</f>
        <v>125</v>
      </c>
      <c r="J52" s="13">
        <f>+'422 Maintenance'!J47</f>
        <v>125</v>
      </c>
      <c r="K52" s="42">
        <f>+'422 Maintenance'!K47</f>
        <v>500</v>
      </c>
      <c r="L52" s="13">
        <f>+'422 Maintenance'!L47</f>
        <v>431</v>
      </c>
      <c r="M52" s="42">
        <f>+'422 Maintenance'!M47</f>
        <v>500</v>
      </c>
      <c r="N52" s="13">
        <f>+'422 Maintenance'!N47</f>
        <v>256</v>
      </c>
      <c r="O52" s="42">
        <f>+'422 Maintenance'!O47</f>
        <v>500</v>
      </c>
      <c r="P52" s="42">
        <f>+'422 Maintenance'!P47</f>
        <v>0</v>
      </c>
    </row>
    <row r="53" spans="1:22" x14ac:dyDescent="0.25">
      <c r="A53" s="881">
        <v>5783</v>
      </c>
      <c r="B53" s="12" t="s">
        <v>205</v>
      </c>
      <c r="C53" s="13">
        <f>+'422 Maintenance'!C49</f>
        <v>780</v>
      </c>
      <c r="D53" s="13">
        <f>+'422 Maintenance'!D49</f>
        <v>1710</v>
      </c>
      <c r="E53" s="13">
        <f>+'422 Maintenance'!E49</f>
        <v>1440</v>
      </c>
      <c r="F53" s="13">
        <f>+'422 Maintenance'!F49</f>
        <v>724</v>
      </c>
      <c r="G53" s="13">
        <f>+'422 Maintenance'!G49</f>
        <v>567.9</v>
      </c>
      <c r="H53" s="13">
        <f>+'422 Maintenance'!H49</f>
        <v>1328.7</v>
      </c>
      <c r="I53" s="13">
        <f>+'422 Maintenance'!I49</f>
        <v>1056</v>
      </c>
      <c r="J53" s="13">
        <f>+'422 Maintenance'!J49</f>
        <v>1204.95</v>
      </c>
      <c r="K53" s="42">
        <f>+'422 Maintenance'!K49</f>
        <v>1500</v>
      </c>
      <c r="L53" s="13">
        <f>+'422 Maintenance'!L49</f>
        <v>950</v>
      </c>
      <c r="M53" s="42">
        <f>+'422 Maintenance'!M49</f>
        <v>1500</v>
      </c>
      <c r="N53" s="13">
        <f>+'422 Maintenance'!N49</f>
        <v>542.41</v>
      </c>
      <c r="O53" s="42">
        <f>+'422 Maintenance'!O49</f>
        <v>1500</v>
      </c>
      <c r="P53" s="42">
        <f>+'422 Maintenance'!P49</f>
        <v>0</v>
      </c>
    </row>
    <row r="54" spans="1:22" ht="13.8" thickBot="1" x14ac:dyDescent="0.3">
      <c r="A54" s="881"/>
      <c r="B54" s="12" t="s">
        <v>1616</v>
      </c>
      <c r="C54" s="15"/>
      <c r="D54" s="15"/>
      <c r="E54" s="15"/>
      <c r="F54" s="15"/>
      <c r="G54" s="15"/>
      <c r="H54" s="15"/>
      <c r="I54" s="15"/>
      <c r="J54" s="15"/>
      <c r="K54" s="43"/>
      <c r="L54" s="15">
        <f>+'192 Public Bldgs'!L20+'422 Maintenance'!L48+'652 Parks'!L15</f>
        <v>7263.85</v>
      </c>
      <c r="M54" s="43"/>
      <c r="N54" s="15"/>
      <c r="O54" s="43"/>
      <c r="P54" s="43"/>
    </row>
    <row r="55" spans="1:22" x14ac:dyDescent="0.25">
      <c r="A55" s="881"/>
      <c r="B55" s="17" t="s">
        <v>449</v>
      </c>
      <c r="C55" s="30">
        <f t="shared" ref="C55:O55" si="4">SUM(C19:C54)</f>
        <v>285136.54000000004</v>
      </c>
      <c r="D55" s="30">
        <f t="shared" si="4"/>
        <v>332717.53999999998</v>
      </c>
      <c r="E55" s="30">
        <f t="shared" si="4"/>
        <v>399597.73000000004</v>
      </c>
      <c r="F55" s="30">
        <f t="shared" si="4"/>
        <v>382107.43999999994</v>
      </c>
      <c r="G55" s="30">
        <f t="shared" si="4"/>
        <v>316782.28999999998</v>
      </c>
      <c r="H55" s="30">
        <f t="shared" si="4"/>
        <v>356131.57000000007</v>
      </c>
      <c r="I55" s="30">
        <f t="shared" si="4"/>
        <v>427074.30000000005</v>
      </c>
      <c r="J55" s="30">
        <f t="shared" ref="J55" si="5">SUM(J19:J54)</f>
        <v>430017.62000000005</v>
      </c>
      <c r="K55" s="185">
        <f t="shared" ref="K55:M55" si="6">SUM(K19:K54)</f>
        <v>473825</v>
      </c>
      <c r="L55" s="30">
        <f t="shared" si="6"/>
        <v>407776.17</v>
      </c>
      <c r="M55" s="185">
        <f t="shared" si="6"/>
        <v>496075</v>
      </c>
      <c r="N55" s="30">
        <f t="shared" si="4"/>
        <v>221320.84</v>
      </c>
      <c r="O55" s="185">
        <f t="shared" si="4"/>
        <v>531675</v>
      </c>
      <c r="P55" s="185">
        <f>+O55</f>
        <v>531675</v>
      </c>
    </row>
    <row r="56" spans="1:22" x14ac:dyDescent="0.25">
      <c r="A56" s="881"/>
      <c r="B56" s="17"/>
      <c r="C56" s="30"/>
      <c r="D56" s="30"/>
      <c r="E56" s="30"/>
      <c r="F56" s="13"/>
      <c r="G56" s="13"/>
      <c r="H56" s="13"/>
      <c r="I56" s="13"/>
      <c r="J56" s="13"/>
      <c r="K56" s="42"/>
      <c r="L56" s="13"/>
      <c r="M56" s="42"/>
      <c r="N56" s="13"/>
      <c r="O56" s="42"/>
      <c r="P56" s="42"/>
    </row>
    <row r="57" spans="1:22" ht="13.8" thickBot="1" x14ac:dyDescent="0.3">
      <c r="A57" s="881">
        <v>5800</v>
      </c>
      <c r="B57" s="12" t="s">
        <v>1189</v>
      </c>
      <c r="C57" s="30"/>
      <c r="D57" s="30"/>
      <c r="E57" s="30"/>
      <c r="F57" s="15"/>
      <c r="G57" s="15"/>
      <c r="H57" s="15"/>
      <c r="I57" s="15">
        <f>+'422 Maintenance'!I52</f>
        <v>21320.41</v>
      </c>
      <c r="J57" s="15">
        <f>+'422 Maintenance'!J52</f>
        <v>21320.41</v>
      </c>
      <c r="K57" s="43">
        <f>+'422 Maintenance'!K52</f>
        <v>24090</v>
      </c>
      <c r="L57" s="15">
        <f>+'422 Maintenance'!L52</f>
        <v>21320.41</v>
      </c>
      <c r="M57" s="43">
        <f>+'422 Maintenance'!M52</f>
        <v>21321</v>
      </c>
      <c r="N57" s="43">
        <f>+'422 Maintenance'!N52</f>
        <v>0</v>
      </c>
      <c r="O57" s="43">
        <f>+'422 Maintenance'!O53</f>
        <v>0</v>
      </c>
      <c r="P57" s="43">
        <f>+'422 Maintenance'!P53</f>
        <v>0</v>
      </c>
    </row>
    <row r="58" spans="1:22" x14ac:dyDescent="0.25">
      <c r="A58" s="881"/>
      <c r="B58" s="17" t="s">
        <v>136</v>
      </c>
      <c r="C58" s="30"/>
      <c r="D58" s="30"/>
      <c r="E58" s="30"/>
      <c r="F58" s="18"/>
      <c r="G58" s="18"/>
      <c r="H58" s="18"/>
      <c r="I58" s="18">
        <f>+I57</f>
        <v>21320.41</v>
      </c>
      <c r="J58" s="18">
        <f>+J57</f>
        <v>21320.41</v>
      </c>
      <c r="K58" s="36">
        <f>+K57</f>
        <v>24090</v>
      </c>
      <c r="L58" s="18">
        <f t="shared" ref="L58:M58" si="7">+L57</f>
        <v>21320.41</v>
      </c>
      <c r="M58" s="36">
        <f t="shared" si="7"/>
        <v>21321</v>
      </c>
      <c r="N58" s="18">
        <f>+N57</f>
        <v>0</v>
      </c>
      <c r="O58" s="36">
        <f>+O57</f>
        <v>0</v>
      </c>
      <c r="P58" s="36">
        <f>+O58</f>
        <v>0</v>
      </c>
    </row>
    <row r="59" spans="1:22" x14ac:dyDescent="0.25">
      <c r="A59" s="881"/>
      <c r="B59" s="12"/>
      <c r="C59" s="37"/>
      <c r="D59" s="37"/>
      <c r="E59" s="37"/>
      <c r="F59" s="37"/>
      <c r="G59" s="37"/>
      <c r="H59" s="37"/>
      <c r="I59" s="37"/>
      <c r="J59" s="37"/>
      <c r="K59" s="97"/>
      <c r="L59" s="37"/>
      <c r="M59" s="97"/>
      <c r="N59" s="37"/>
      <c r="O59" s="97"/>
      <c r="P59" s="97"/>
    </row>
    <row r="60" spans="1:22" ht="13.8" thickBot="1" x14ac:dyDescent="0.3">
      <c r="A60" s="882"/>
      <c r="B60" s="20" t="s">
        <v>137</v>
      </c>
      <c r="C60" s="21">
        <f t="shared" ref="C60:H60" si="8">+C55+C17</f>
        <v>961847.43</v>
      </c>
      <c r="D60" s="21">
        <f t="shared" si="8"/>
        <v>1059583.8599999999</v>
      </c>
      <c r="E60" s="21">
        <f t="shared" si="8"/>
        <v>1131643.6700000004</v>
      </c>
      <c r="F60" s="21">
        <f t="shared" si="8"/>
        <v>1126607.77</v>
      </c>
      <c r="G60" s="21">
        <f t="shared" si="8"/>
        <v>1120246.68</v>
      </c>
      <c r="H60" s="21">
        <f t="shared" si="8"/>
        <v>1203442.93</v>
      </c>
      <c r="I60" s="21">
        <f t="shared" ref="I60:P60" si="9">+I55+I17+I58</f>
        <v>1313961.4099999999</v>
      </c>
      <c r="J60" s="21">
        <f t="shared" si="9"/>
        <v>1376050.41</v>
      </c>
      <c r="K60" s="41">
        <f t="shared" si="9"/>
        <v>1465498</v>
      </c>
      <c r="L60" s="21">
        <f t="shared" ref="L60:M60" si="10">+L55+L17+L58</f>
        <v>1375179.96</v>
      </c>
      <c r="M60" s="41">
        <f t="shared" si="10"/>
        <v>1540146</v>
      </c>
      <c r="N60" s="668">
        <f t="shared" si="9"/>
        <v>707870.64999999991</v>
      </c>
      <c r="O60" s="41">
        <f t="shared" si="9"/>
        <v>1548375</v>
      </c>
      <c r="P60" s="41">
        <f t="shared" si="9"/>
        <v>1548375</v>
      </c>
    </row>
    <row r="61" spans="1:22" ht="16.2" thickTop="1" x14ac:dyDescent="0.3">
      <c r="A61" s="876"/>
      <c r="B61" s="4"/>
      <c r="C61" s="59"/>
      <c r="D61" s="23"/>
      <c r="E61" s="23"/>
      <c r="F61" s="23"/>
      <c r="G61" s="23"/>
      <c r="H61" s="23"/>
      <c r="I61" s="23"/>
      <c r="J61" s="23"/>
      <c r="K61" s="23"/>
      <c r="L61" s="23"/>
      <c r="M61" s="23"/>
      <c r="N61" s="23"/>
      <c r="O61" s="59"/>
      <c r="P61" s="387"/>
      <c r="Q61" s="23"/>
      <c r="R61" s="27"/>
      <c r="S61" s="208"/>
      <c r="T61" s="27"/>
      <c r="U61" s="27"/>
      <c r="V61" s="27"/>
    </row>
    <row r="62" spans="1:22" x14ac:dyDescent="0.25">
      <c r="A62" s="876" t="s">
        <v>858</v>
      </c>
      <c r="B62" s="4"/>
      <c r="C62" s="59"/>
      <c r="D62" s="23"/>
      <c r="E62" s="23"/>
      <c r="F62" s="23"/>
      <c r="G62" s="23"/>
      <c r="H62" s="23"/>
      <c r="I62" s="23"/>
      <c r="J62" s="23"/>
      <c r="K62" s="23"/>
      <c r="L62" s="23"/>
      <c r="M62" s="23"/>
      <c r="N62" s="23"/>
      <c r="O62" s="325">
        <f>+O60-K60</f>
        <v>82877</v>
      </c>
      <c r="P62" s="744">
        <f>ROUND((+O62/K60),4)</f>
        <v>5.6599999999999998E-2</v>
      </c>
      <c r="Q62" s="27"/>
      <c r="R62" s="27"/>
      <c r="S62" s="27"/>
      <c r="T62" s="27"/>
      <c r="U62" s="27"/>
      <c r="V62" s="27"/>
    </row>
    <row r="63" spans="1:22" x14ac:dyDescent="0.25">
      <c r="A63" s="876"/>
      <c r="B63" s="4"/>
      <c r="C63" s="59"/>
      <c r="D63" s="23"/>
      <c r="E63" s="23"/>
      <c r="F63" s="23"/>
      <c r="G63" s="23"/>
      <c r="H63" s="23"/>
      <c r="I63" s="23"/>
      <c r="J63" s="23"/>
      <c r="K63" s="23"/>
      <c r="L63" s="23"/>
      <c r="M63" s="23"/>
      <c r="N63" s="23"/>
      <c r="O63" s="23"/>
      <c r="P63" s="23"/>
      <c r="Q63" s="23"/>
      <c r="R63" s="27"/>
      <c r="S63" s="27"/>
      <c r="T63" s="27"/>
      <c r="U63" s="27"/>
      <c r="V63" s="27"/>
    </row>
    <row r="64" spans="1:22" x14ac:dyDescent="0.25">
      <c r="A64" s="876"/>
      <c r="B64" s="4"/>
      <c r="C64" s="59"/>
      <c r="D64" s="23"/>
      <c r="E64" s="23"/>
      <c r="F64" s="23"/>
      <c r="G64" s="23"/>
      <c r="H64" s="23"/>
      <c r="I64" s="23"/>
      <c r="J64" s="23"/>
      <c r="K64" s="23"/>
      <c r="L64" s="23"/>
      <c r="M64" s="23"/>
      <c r="N64" s="23"/>
      <c r="O64" s="23"/>
      <c r="P64" s="23"/>
      <c r="Q64" s="23"/>
      <c r="R64" s="27"/>
      <c r="S64" s="27"/>
      <c r="T64" s="27"/>
      <c r="U64" s="27"/>
      <c r="V64" s="27"/>
    </row>
    <row r="65" spans="1:23" x14ac:dyDescent="0.25">
      <c r="A65" s="876"/>
      <c r="B65" s="4"/>
      <c r="C65" s="23"/>
      <c r="D65" s="23"/>
      <c r="E65" s="23"/>
      <c r="F65" s="23"/>
      <c r="G65" s="23"/>
      <c r="H65" s="23"/>
      <c r="I65" s="23"/>
      <c r="J65" s="23"/>
      <c r="K65" s="23"/>
      <c r="L65" s="23"/>
      <c r="M65" s="23"/>
      <c r="N65" s="23"/>
      <c r="O65" s="23"/>
      <c r="P65" s="23"/>
      <c r="Q65" s="23"/>
      <c r="R65" s="27"/>
      <c r="S65" s="27"/>
      <c r="T65" s="27"/>
      <c r="U65" s="27"/>
      <c r="V65" s="27"/>
    </row>
    <row r="66" spans="1:23" ht="13.8" thickBot="1" x14ac:dyDescent="0.3">
      <c r="A66" s="876" t="s">
        <v>527</v>
      </c>
      <c r="B66" s="4"/>
      <c r="C66" s="114"/>
      <c r="D66" s="1"/>
      <c r="E66" s="1"/>
      <c r="F66" s="1"/>
      <c r="G66" s="1"/>
      <c r="H66" s="1"/>
      <c r="I66" s="1"/>
      <c r="J66" s="1"/>
      <c r="K66" s="1"/>
      <c r="L66" s="1"/>
      <c r="M66" s="1"/>
      <c r="N66"/>
      <c r="O66"/>
      <c r="P66"/>
      <c r="Q66" s="240"/>
    </row>
    <row r="67" spans="1:23" ht="13.8" thickTop="1" x14ac:dyDescent="0.25">
      <c r="A67" s="883" t="s">
        <v>891</v>
      </c>
      <c r="B67" s="106"/>
      <c r="K67" s="316" t="s">
        <v>85</v>
      </c>
      <c r="L67" s="156" t="s">
        <v>33</v>
      </c>
      <c r="M67" s="168" t="s">
        <v>580</v>
      </c>
      <c r="N67" s="168" t="s">
        <v>579</v>
      </c>
      <c r="O67"/>
      <c r="P67" s="212"/>
      <c r="Q67" s="25"/>
      <c r="W67" s="54"/>
    </row>
    <row r="68" spans="1:23" ht="13.8" thickBot="1" x14ac:dyDescent="0.3">
      <c r="A68" s="884" t="s">
        <v>892</v>
      </c>
      <c r="B68" s="108" t="s">
        <v>528</v>
      </c>
      <c r="K68" s="343">
        <v>44743</v>
      </c>
      <c r="L68" s="159" t="s">
        <v>576</v>
      </c>
      <c r="M68" s="160" t="s">
        <v>34</v>
      </c>
      <c r="N68" s="160" t="s">
        <v>106</v>
      </c>
      <c r="O68"/>
      <c r="P68" s="80"/>
      <c r="Q68" s="26"/>
      <c r="W68" s="54"/>
    </row>
    <row r="69" spans="1:23" ht="13.8" thickTop="1" x14ac:dyDescent="0.25">
      <c r="A69" s="1026"/>
      <c r="B69" s="148" t="s">
        <v>1954</v>
      </c>
      <c r="K69" s="105" t="s">
        <v>1316</v>
      </c>
      <c r="L69" s="167"/>
      <c r="M69" s="23"/>
      <c r="N69" s="326">
        <f>+'NAGE &amp; Non-Union Wages'!L12</f>
        <v>97250</v>
      </c>
      <c r="O69" s="738"/>
      <c r="P69" s="1026"/>
      <c r="Q69" s="1036"/>
      <c r="W69" s="54"/>
    </row>
    <row r="70" spans="1:23" x14ac:dyDescent="0.25">
      <c r="A70" s="1026"/>
      <c r="B70" s="148" t="s">
        <v>1955</v>
      </c>
      <c r="K70" s="105" t="s">
        <v>1636</v>
      </c>
      <c r="L70" s="167">
        <f>+'NAGE &amp; Non-Union Wages'!H8</f>
        <v>26.15</v>
      </c>
      <c r="M70" s="27">
        <v>2080</v>
      </c>
      <c r="N70" s="326">
        <f t="shared" ref="N70:N88" si="11">ROUND((+L70*M70),2)</f>
        <v>54392</v>
      </c>
      <c r="O70" s="1071"/>
      <c r="P70" s="1026"/>
      <c r="Q70" s="1036"/>
      <c r="W70" s="54"/>
    </row>
    <row r="71" spans="1:23" x14ac:dyDescent="0.25">
      <c r="A71" s="1026"/>
      <c r="B71" s="148" t="s">
        <v>1956</v>
      </c>
      <c r="K71" s="105" t="s">
        <v>1654</v>
      </c>
      <c r="L71" s="167">
        <f>+'NAGE &amp; Non-Union Wages'!H19</f>
        <v>31.67</v>
      </c>
      <c r="M71" s="27">
        <v>2080</v>
      </c>
      <c r="N71" s="326">
        <f t="shared" si="11"/>
        <v>65873.600000000006</v>
      </c>
      <c r="O71" s="1071"/>
      <c r="P71" s="1026"/>
      <c r="Q71" s="1036"/>
      <c r="W71" s="54"/>
    </row>
    <row r="72" spans="1:23" x14ac:dyDescent="0.25">
      <c r="A72" s="1026"/>
      <c r="B72" s="148" t="s">
        <v>1957</v>
      </c>
      <c r="K72" s="105" t="s">
        <v>1633</v>
      </c>
      <c r="L72" s="167">
        <f>+'NAGE &amp; Non-Union Wages'!F8</f>
        <v>24.89</v>
      </c>
      <c r="M72" s="27">
        <v>2080</v>
      </c>
      <c r="N72" s="326">
        <f t="shared" si="11"/>
        <v>51771.199999999997</v>
      </c>
      <c r="O72" s="1071"/>
      <c r="P72" s="1026"/>
      <c r="Q72" s="1036"/>
      <c r="W72" s="54"/>
    </row>
    <row r="73" spans="1:23" x14ac:dyDescent="0.25">
      <c r="A73" s="1035"/>
      <c r="B73" s="148" t="s">
        <v>1958</v>
      </c>
      <c r="K73" s="96" t="s">
        <v>1430</v>
      </c>
      <c r="L73" s="213">
        <f>+'UE Wages'!E8</f>
        <v>22.59</v>
      </c>
      <c r="M73" s="27">
        <v>2080</v>
      </c>
      <c r="N73" s="326">
        <f t="shared" si="11"/>
        <v>46987.199999999997</v>
      </c>
      <c r="O73" s="738"/>
      <c r="P73" s="1035"/>
      <c r="Q73" s="1036"/>
      <c r="W73" s="54"/>
    </row>
    <row r="74" spans="1:23" x14ac:dyDescent="0.25">
      <c r="A74" s="1026"/>
      <c r="B74" s="591" t="s">
        <v>1959</v>
      </c>
      <c r="K74" s="96" t="s">
        <v>1634</v>
      </c>
      <c r="L74" s="213">
        <f>+'UE Wages'!K7</f>
        <v>23.7</v>
      </c>
      <c r="M74" s="27">
        <v>2080</v>
      </c>
      <c r="N74" s="326">
        <f t="shared" si="11"/>
        <v>49296</v>
      </c>
      <c r="O74" s="738"/>
      <c r="P74" s="1026"/>
      <c r="Q74" s="1036"/>
      <c r="W74" s="54"/>
    </row>
    <row r="75" spans="1:23" x14ac:dyDescent="0.25">
      <c r="A75" s="1026"/>
      <c r="B75" s="591" t="s">
        <v>1959</v>
      </c>
      <c r="K75" s="105" t="s">
        <v>1432</v>
      </c>
      <c r="L75" s="23">
        <f>+'UE Wages'!H7</f>
        <v>22.33</v>
      </c>
      <c r="M75" s="27">
        <v>2080</v>
      </c>
      <c r="N75" s="326">
        <f t="shared" si="11"/>
        <v>46446.400000000001</v>
      </c>
      <c r="O75" s="1071"/>
      <c r="P75" s="1026"/>
      <c r="Q75" s="1036"/>
      <c r="W75" s="54"/>
    </row>
    <row r="76" spans="1:23" x14ac:dyDescent="0.25">
      <c r="A76" s="1026"/>
      <c r="B76" s="591" t="s">
        <v>1960</v>
      </c>
      <c r="K76" s="96" t="s">
        <v>1320</v>
      </c>
      <c r="L76" s="213">
        <f>+'UE Wages'!I5</f>
        <v>17.96</v>
      </c>
      <c r="M76" s="27">
        <v>2080</v>
      </c>
      <c r="N76" s="326">
        <f t="shared" si="11"/>
        <v>37356.800000000003</v>
      </c>
      <c r="O76" s="1071"/>
      <c r="P76" s="1026"/>
      <c r="Q76" s="1036"/>
      <c r="W76" s="54"/>
    </row>
    <row r="77" spans="1:23" x14ac:dyDescent="0.25">
      <c r="A77" s="1026"/>
      <c r="B77" s="592" t="s">
        <v>1961</v>
      </c>
      <c r="K77" s="96" t="s">
        <v>1632</v>
      </c>
      <c r="L77" s="213">
        <f>+'UE Wages'!F7</f>
        <v>21.24</v>
      </c>
      <c r="M77" s="27">
        <v>2080</v>
      </c>
      <c r="N77" s="326">
        <f t="shared" si="11"/>
        <v>44179.199999999997</v>
      </c>
      <c r="O77" s="1071"/>
      <c r="P77" s="1026"/>
      <c r="Q77" s="1036"/>
      <c r="W77" s="54"/>
    </row>
    <row r="78" spans="1:23" x14ac:dyDescent="0.25">
      <c r="A78" s="1026"/>
      <c r="B78" s="592" t="s">
        <v>1962</v>
      </c>
      <c r="C78" s="335"/>
      <c r="D78" s="374"/>
      <c r="E78" s="374"/>
      <c r="K78" s="105" t="s">
        <v>1485</v>
      </c>
      <c r="L78" s="213">
        <f>+'UE Wages'!C7</f>
        <v>19.739999999999998</v>
      </c>
      <c r="M78" s="27">
        <v>2080</v>
      </c>
      <c r="N78" s="326">
        <f t="shared" si="11"/>
        <v>41059.199999999997</v>
      </c>
      <c r="O78" s="738"/>
      <c r="P78" s="1026"/>
      <c r="Q78" s="1036"/>
      <c r="W78" s="54"/>
    </row>
    <row r="79" spans="1:23" x14ac:dyDescent="0.25">
      <c r="A79" s="1026"/>
      <c r="B79" s="592" t="s">
        <v>1963</v>
      </c>
      <c r="C79" s="335"/>
      <c r="D79" s="374"/>
      <c r="E79" s="374"/>
      <c r="K79" s="96" t="s">
        <v>1628</v>
      </c>
      <c r="L79" s="213">
        <f>+'UE Wages'!I8</f>
        <v>24.83</v>
      </c>
      <c r="M79" s="27">
        <v>2080</v>
      </c>
      <c r="N79" s="326">
        <f t="shared" si="11"/>
        <v>51646.400000000001</v>
      </c>
      <c r="O79" s="738"/>
      <c r="P79" s="1026"/>
      <c r="Q79" s="1036"/>
      <c r="W79" s="54"/>
    </row>
    <row r="80" spans="1:23" x14ac:dyDescent="0.25">
      <c r="A80" s="1026"/>
      <c r="B80" s="590" t="s">
        <v>1964</v>
      </c>
      <c r="C80" s="335"/>
      <c r="D80" s="374"/>
      <c r="E80" s="374"/>
      <c r="K80" s="105" t="s">
        <v>1468</v>
      </c>
      <c r="L80" s="105">
        <f>+'UE Wages'!D5</f>
        <v>15.95</v>
      </c>
      <c r="M80" s="96">
        <v>742</v>
      </c>
      <c r="N80" s="326">
        <f t="shared" si="11"/>
        <v>11834.9</v>
      </c>
      <c r="O80" s="738"/>
      <c r="P80" s="1026"/>
      <c r="Q80" s="1037"/>
      <c r="W80" s="54"/>
    </row>
    <row r="81" spans="1:23" x14ac:dyDescent="0.25">
      <c r="A81" s="1026"/>
      <c r="B81" s="148" t="s">
        <v>1965</v>
      </c>
      <c r="C81" s="335"/>
      <c r="D81" s="374"/>
      <c r="E81" s="374"/>
      <c r="K81" s="96" t="s">
        <v>1430</v>
      </c>
      <c r="L81" s="213">
        <f>+'UE Wages'!E8</f>
        <v>22.59</v>
      </c>
      <c r="M81" s="27">
        <v>2080</v>
      </c>
      <c r="N81" s="326">
        <f t="shared" si="11"/>
        <v>46987.199999999997</v>
      </c>
      <c r="O81" s="742"/>
      <c r="P81" s="1026"/>
      <c r="Q81" s="1038"/>
      <c r="W81" s="54"/>
    </row>
    <row r="82" spans="1:23" x14ac:dyDescent="0.25">
      <c r="A82" s="1026"/>
      <c r="B82" s="148" t="s">
        <v>1966</v>
      </c>
      <c r="C82" s="335"/>
      <c r="D82" s="374"/>
      <c r="E82" s="374"/>
      <c r="K82" s="96" t="s">
        <v>1430</v>
      </c>
      <c r="L82" s="213">
        <f>+'UE Wages'!E8</f>
        <v>22.59</v>
      </c>
      <c r="M82" s="27">
        <v>2080</v>
      </c>
      <c r="N82" s="326">
        <f t="shared" si="11"/>
        <v>46987.199999999997</v>
      </c>
      <c r="O82" s="738"/>
      <c r="P82" s="1026"/>
      <c r="Q82" s="1036"/>
      <c r="W82" s="54"/>
    </row>
    <row r="83" spans="1:23" x14ac:dyDescent="0.25">
      <c r="A83" s="1035"/>
      <c r="B83" s="148" t="s">
        <v>1967</v>
      </c>
      <c r="C83" s="335"/>
      <c r="D83" s="374"/>
      <c r="E83" s="374"/>
      <c r="K83" s="96" t="s">
        <v>1357</v>
      </c>
      <c r="L83" s="213">
        <f>+'UE Wages'!F8</f>
        <v>23.16</v>
      </c>
      <c r="M83" s="27">
        <v>2080</v>
      </c>
      <c r="N83" s="326">
        <f t="shared" si="11"/>
        <v>48172.800000000003</v>
      </c>
      <c r="O83" s="1071"/>
      <c r="P83" s="1035"/>
      <c r="Q83" s="1037"/>
      <c r="W83" s="54"/>
    </row>
    <row r="84" spans="1:23" x14ac:dyDescent="0.25">
      <c r="A84" s="1026"/>
      <c r="B84" s="148" t="s">
        <v>1968</v>
      </c>
      <c r="C84" s="335"/>
      <c r="D84" s="374"/>
      <c r="E84" s="374"/>
      <c r="K84" s="96" t="s">
        <v>1635</v>
      </c>
      <c r="L84" s="213">
        <f>+'UE Wages'!E7</f>
        <v>20.75</v>
      </c>
      <c r="M84" s="27">
        <v>2080</v>
      </c>
      <c r="N84" s="326">
        <f t="shared" si="11"/>
        <v>43160</v>
      </c>
      <c r="O84" s="738"/>
      <c r="P84" s="1026"/>
      <c r="Q84" s="1036"/>
      <c r="W84" s="54"/>
    </row>
    <row r="85" spans="1:23" x14ac:dyDescent="0.25">
      <c r="A85" s="1026"/>
      <c r="B85" s="148" t="s">
        <v>1969</v>
      </c>
      <c r="K85" s="96" t="s">
        <v>1635</v>
      </c>
      <c r="L85" s="213">
        <f>+'UE Wages'!E7</f>
        <v>20.75</v>
      </c>
      <c r="M85" s="27">
        <v>2080</v>
      </c>
      <c r="N85" s="326">
        <f t="shared" si="11"/>
        <v>43160</v>
      </c>
      <c r="O85" s="738"/>
      <c r="P85" s="1026"/>
      <c r="Q85" s="1036"/>
      <c r="W85" s="54"/>
    </row>
    <row r="86" spans="1:23" x14ac:dyDescent="0.25">
      <c r="A86" s="1026"/>
      <c r="B86" s="148" t="s">
        <v>1969</v>
      </c>
      <c r="K86" s="96" t="s">
        <v>1635</v>
      </c>
      <c r="L86" s="213">
        <f>+'UE Wages'!E7</f>
        <v>20.75</v>
      </c>
      <c r="M86" s="27">
        <v>2080</v>
      </c>
      <c r="N86" s="326">
        <f t="shared" si="11"/>
        <v>43160</v>
      </c>
      <c r="O86" s="738"/>
      <c r="P86" s="1026"/>
      <c r="Q86" s="1036"/>
      <c r="W86" s="54"/>
    </row>
    <row r="87" spans="1:23" x14ac:dyDescent="0.25">
      <c r="A87" s="1026"/>
      <c r="B87" s="148" t="s">
        <v>1970</v>
      </c>
      <c r="K87" s="96" t="s">
        <v>1634</v>
      </c>
      <c r="L87" s="213">
        <f>+'UE Wages'!K7</f>
        <v>23.7</v>
      </c>
      <c r="M87" s="27">
        <v>2080</v>
      </c>
      <c r="N87" s="326">
        <f t="shared" si="11"/>
        <v>49296</v>
      </c>
      <c r="O87" s="738"/>
      <c r="P87" s="1026"/>
      <c r="Q87" s="1036"/>
      <c r="W87" s="54"/>
    </row>
    <row r="88" spans="1:23" s="4" customFormat="1" x14ac:dyDescent="0.25">
      <c r="A88" s="1026"/>
      <c r="B88" s="148" t="s">
        <v>1971</v>
      </c>
      <c r="K88" s="95" t="s">
        <v>1431</v>
      </c>
      <c r="L88" s="213">
        <f>+'UE Wages'!J7</f>
        <v>23.23</v>
      </c>
      <c r="M88" s="27">
        <v>2080</v>
      </c>
      <c r="N88" s="326">
        <f t="shared" si="11"/>
        <v>48318.400000000001</v>
      </c>
      <c r="O88" s="742"/>
      <c r="P88" s="1026"/>
      <c r="Q88" s="1038"/>
      <c r="W88" s="25"/>
    </row>
    <row r="89" spans="1:23" s="4" customFormat="1" x14ac:dyDescent="0.25">
      <c r="A89" s="876"/>
      <c r="B89" s="148"/>
      <c r="C89" s="95"/>
      <c r="D89" s="95"/>
      <c r="E89" s="95"/>
      <c r="F89" s="95"/>
      <c r="G89" s="95"/>
      <c r="H89" s="95"/>
      <c r="I89" s="95"/>
      <c r="J89" s="95"/>
      <c r="K89" s="95"/>
      <c r="L89" s="213"/>
      <c r="M89" s="96"/>
      <c r="N89" s="326"/>
      <c r="O89" s="742"/>
      <c r="P89" s="57"/>
      <c r="Q89" s="1038"/>
      <c r="W89" s="25"/>
    </row>
    <row r="90" spans="1:23" s="4" customFormat="1" x14ac:dyDescent="0.25">
      <c r="A90" s="876"/>
      <c r="B90" s="148"/>
      <c r="C90" s="95"/>
      <c r="D90" s="95"/>
      <c r="E90" s="95"/>
      <c r="F90" s="95"/>
      <c r="G90" s="95"/>
      <c r="H90" s="95"/>
      <c r="I90" s="95"/>
      <c r="J90" s="95"/>
      <c r="K90" s="95"/>
      <c r="L90" s="213"/>
      <c r="M90" s="96"/>
      <c r="N90" s="326"/>
      <c r="O90" s="742"/>
      <c r="P90" s="57"/>
      <c r="Q90" s="419"/>
      <c r="W90" s="25"/>
    </row>
    <row r="91" spans="1:23" s="4" customFormat="1" x14ac:dyDescent="0.25">
      <c r="A91" s="876"/>
      <c r="B91" s="148"/>
      <c r="C91" s="23"/>
      <c r="D91" s="23"/>
      <c r="F91" s="23"/>
      <c r="K91" s="23"/>
      <c r="L91" s="23" t="s">
        <v>1318</v>
      </c>
      <c r="M91" s="23"/>
      <c r="N91" s="23"/>
      <c r="O91" s="742">
        <f>SUM(O69:O88)</f>
        <v>0</v>
      </c>
      <c r="P91" s="23"/>
      <c r="Q91" s="23"/>
      <c r="W91" s="25"/>
    </row>
    <row r="92" spans="1:23" s="4" customFormat="1" x14ac:dyDescent="0.25">
      <c r="A92" s="876"/>
      <c r="B92" s="764"/>
      <c r="C92" s="105"/>
      <c r="D92" s="105"/>
      <c r="E92" s="105"/>
      <c r="F92" s="23"/>
      <c r="K92" s="23"/>
      <c r="L92" s="23"/>
      <c r="M92" s="23" t="s">
        <v>439</v>
      </c>
      <c r="N92" s="23">
        <f>SUM(N69:N91)</f>
        <v>967334.5</v>
      </c>
      <c r="P92" s="23"/>
      <c r="Q92" s="23"/>
      <c r="W92" s="25"/>
    </row>
    <row r="93" spans="1:23" s="4" customFormat="1" x14ac:dyDescent="0.25">
      <c r="A93" s="886"/>
      <c r="B93" s="26"/>
      <c r="C93" s="23"/>
      <c r="D93" s="167"/>
      <c r="E93" s="167"/>
      <c r="F93" s="27"/>
      <c r="K93" s="27"/>
      <c r="L93" s="27"/>
      <c r="M93" s="864">
        <v>433</v>
      </c>
      <c r="N93" s="155">
        <f>-'433 Solid Waste'!O10</f>
        <v>-11835</v>
      </c>
      <c r="W93" s="25"/>
    </row>
    <row r="94" spans="1:23" s="4" customFormat="1" x14ac:dyDescent="0.25">
      <c r="A94" s="876"/>
      <c r="B94" s="26"/>
      <c r="C94" s="23"/>
      <c r="D94" s="167"/>
      <c r="E94" s="167"/>
      <c r="F94" s="27"/>
      <c r="H94" s="27"/>
      <c r="K94" s="27"/>
      <c r="L94" s="27"/>
      <c r="M94" s="864">
        <v>420</v>
      </c>
      <c r="N94" s="155">
        <f>+N93+N92</f>
        <v>955499.5</v>
      </c>
      <c r="P94" s="386">
        <f>SUM(P69:P93)</f>
        <v>0</v>
      </c>
      <c r="W94" s="25"/>
    </row>
    <row r="95" spans="1:23" s="4" customFormat="1" x14ac:dyDescent="0.25">
      <c r="A95" s="876"/>
      <c r="B95" s="148" t="s">
        <v>793</v>
      </c>
      <c r="C95" s="23"/>
      <c r="I95" s="23"/>
      <c r="J95" s="23"/>
      <c r="K95" s="23"/>
      <c r="L95" s="23"/>
      <c r="M95" s="23"/>
      <c r="N95" s="27"/>
      <c r="V95" s="26"/>
      <c r="W95" s="25"/>
    </row>
    <row r="96" spans="1:23" s="4" customFormat="1" x14ac:dyDescent="0.25">
      <c r="A96" s="876"/>
      <c r="C96" s="23"/>
      <c r="D96" s="27"/>
      <c r="E96" s="27"/>
      <c r="F96" s="27"/>
      <c r="G96" s="27"/>
      <c r="H96" s="27"/>
      <c r="I96" s="23"/>
      <c r="J96" s="23"/>
      <c r="K96" s="23"/>
      <c r="L96" s="23"/>
      <c r="M96" s="23"/>
      <c r="N96" s="27"/>
      <c r="P96" s="27"/>
      <c r="Q96" s="27"/>
      <c r="V96" s="27">
        <f>ROUND((SUM(V69:V95)),0)</f>
        <v>0</v>
      </c>
      <c r="W96" s="25"/>
    </row>
    <row r="97" spans="1:2" x14ac:dyDescent="0.25">
      <c r="A97" s="876" t="s">
        <v>1178</v>
      </c>
      <c r="B97" s="4"/>
    </row>
    <row r="98" spans="1:2" x14ac:dyDescent="0.25">
      <c r="A98" s="876" t="s">
        <v>1179</v>
      </c>
      <c r="B98" s="4"/>
    </row>
    <row r="99" spans="1:2" x14ac:dyDescent="0.25">
      <c r="A99" s="876" t="s">
        <v>1180</v>
      </c>
      <c r="B99" s="4"/>
    </row>
    <row r="100" spans="1:2" x14ac:dyDescent="0.25">
      <c r="A100" s="876" t="s">
        <v>1181</v>
      </c>
      <c r="B100" s="4"/>
    </row>
    <row r="101" spans="1:2" x14ac:dyDescent="0.25">
      <c r="A101" s="887" t="s">
        <v>1182</v>
      </c>
      <c r="B101" s="4"/>
    </row>
    <row r="102" spans="1:2" x14ac:dyDescent="0.25">
      <c r="A102" s="876" t="s">
        <v>1183</v>
      </c>
      <c r="B102" s="4"/>
    </row>
    <row r="103" spans="1:2" x14ac:dyDescent="0.25">
      <c r="A103" s="888" t="s">
        <v>1460</v>
      </c>
      <c r="B103" s="4"/>
    </row>
    <row r="104" spans="1:2" x14ac:dyDescent="0.25">
      <c r="A104" s="888" t="s">
        <v>1461</v>
      </c>
      <c r="B104" s="4"/>
    </row>
    <row r="105" spans="1:2" x14ac:dyDescent="0.25">
      <c r="A105" s="888"/>
      <c r="B105" s="4"/>
    </row>
    <row r="106" spans="1:2" x14ac:dyDescent="0.25">
      <c r="A106" s="888"/>
      <c r="B106" s="4"/>
    </row>
    <row r="107" spans="1:2" x14ac:dyDescent="0.25">
      <c r="A107" s="876"/>
      <c r="B107" s="4"/>
    </row>
    <row r="108" spans="1:2" x14ac:dyDescent="0.25">
      <c r="A108" s="876"/>
      <c r="B108" s="4"/>
    </row>
    <row r="109" spans="1:2" x14ac:dyDescent="0.25">
      <c r="A109" s="876"/>
      <c r="B109" s="4"/>
    </row>
    <row r="110" spans="1:2" x14ac:dyDescent="0.25">
      <c r="A110" s="876"/>
      <c r="B110" s="4"/>
    </row>
    <row r="111" spans="1:2" x14ac:dyDescent="0.25">
      <c r="A111" s="876"/>
      <c r="B111" s="4"/>
    </row>
    <row r="112" spans="1:2" x14ac:dyDescent="0.25">
      <c r="A112" s="876"/>
      <c r="B112" s="4"/>
    </row>
    <row r="113" spans="1:2" ht="13.8" x14ac:dyDescent="0.25">
      <c r="A113" s="889"/>
      <c r="B113" s="242"/>
    </row>
    <row r="114" spans="1:2" ht="13.8" x14ac:dyDescent="0.25">
      <c r="A114" s="889"/>
      <c r="B114" s="242"/>
    </row>
    <row r="115" spans="1:2" ht="13.8" x14ac:dyDescent="0.25">
      <c r="A115" s="889"/>
      <c r="B115" s="242"/>
    </row>
    <row r="116" spans="1:2" ht="13.8" x14ac:dyDescent="0.25">
      <c r="A116" s="889"/>
      <c r="B116" s="242"/>
    </row>
    <row r="117" spans="1:2" ht="13.8" x14ac:dyDescent="0.25">
      <c r="A117" s="889"/>
      <c r="B117" s="242"/>
    </row>
    <row r="118" spans="1:2" ht="13.8" x14ac:dyDescent="0.25">
      <c r="A118" s="889"/>
      <c r="B118" s="242"/>
    </row>
  </sheetData>
  <phoneticPr fontId="0" type="noConversion"/>
  <hyperlinks>
    <hyperlink ref="A1" location="'Working Budget with funding det'!A1" display="Main " xr:uid="{00000000-0004-0000-2200-000000000000}"/>
    <hyperlink ref="B1" location="'Table of Contents'!A1" display="TOC" xr:uid="{00000000-0004-0000-2200-000001000000}"/>
  </hyperlinks>
  <pageMargins left="0.75" right="0.75" top="1" bottom="1" header="0.5" footer="0.5"/>
  <pageSetup scale="89" fitToHeight="3" orientation="landscape" horizontalDpi="300" verticalDpi="300" r:id="rId1"/>
  <headerFooter alignWithMargins="0">
    <oddFooter>&amp;L&amp;D     &amp;T&amp;C&amp;F&amp;R&amp;A  &amp;P</oddFooter>
  </headerFooter>
  <rowBreaks count="2" manualBreakCount="2">
    <brk id="63" max="15" man="1"/>
    <brk id="96" max="11"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92D050"/>
  </sheetPr>
  <dimension ref="A1:T164"/>
  <sheetViews>
    <sheetView zoomScaleNormal="100" workbookViewId="0">
      <selection activeCell="P1" sqref="P1:P1048576"/>
    </sheetView>
  </sheetViews>
  <sheetFormatPr defaultRowHeight="13.2" x14ac:dyDescent="0.25"/>
  <cols>
    <col min="1" max="1" width="8.77734375" style="885"/>
    <col min="2" max="2" width="36.6640625" customWidth="1"/>
    <col min="3" max="3" width="14.44140625" style="1" hidden="1" customWidth="1"/>
    <col min="4" max="10" width="14.44140625" style="114" hidden="1" customWidth="1"/>
    <col min="11" max="13" width="14.44140625" style="114" customWidth="1"/>
    <col min="14" max="14" width="14.44140625" customWidth="1"/>
    <col min="15" max="16" width="14.44140625" style="1" customWidth="1"/>
    <col min="17" max="19" width="14.44140625" customWidth="1"/>
    <col min="20" max="20" width="14.6640625" style="2" customWidth="1"/>
  </cols>
  <sheetData>
    <row r="1" spans="1:19" x14ac:dyDescent="0.25">
      <c r="A1" s="874" t="s">
        <v>1022</v>
      </c>
      <c r="B1" s="371" t="s">
        <v>1348</v>
      </c>
      <c r="P1"/>
    </row>
    <row r="2" spans="1:19" ht="13.8" x14ac:dyDescent="0.25">
      <c r="A2" s="875" t="s">
        <v>262</v>
      </c>
      <c r="B2" s="45"/>
      <c r="E2" s="141"/>
      <c r="I2" s="141" t="s">
        <v>257</v>
      </c>
      <c r="J2" s="141"/>
      <c r="K2" s="141"/>
      <c r="L2" s="141"/>
      <c r="M2" s="141"/>
      <c r="N2" s="61" t="s">
        <v>368</v>
      </c>
      <c r="P2" s="46" t="s">
        <v>493</v>
      </c>
    </row>
    <row r="3" spans="1:19" ht="13.8" thickBot="1" x14ac:dyDescent="0.3">
      <c r="A3" s="876"/>
      <c r="B3" s="4"/>
      <c r="C3" s="23"/>
      <c r="D3" s="23"/>
      <c r="E3" s="23"/>
      <c r="F3" s="23"/>
      <c r="G3" s="23"/>
      <c r="H3" s="23"/>
      <c r="I3" s="23"/>
      <c r="J3" s="23"/>
      <c r="K3" s="23"/>
      <c r="L3" s="23"/>
      <c r="M3" s="23"/>
      <c r="N3" s="4"/>
      <c r="O3" s="23"/>
      <c r="P3" s="4"/>
      <c r="S3" s="4"/>
    </row>
    <row r="4" spans="1:19" ht="13.8" thickTop="1" x14ac:dyDescent="0.25">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t="s">
        <v>910</v>
      </c>
    </row>
    <row r="5" spans="1:19" x14ac:dyDescent="0.25">
      <c r="A5" s="878"/>
      <c r="B5" s="209"/>
      <c r="C5" s="127"/>
      <c r="D5" s="87"/>
      <c r="E5" s="113"/>
      <c r="F5" s="87"/>
      <c r="G5" s="87"/>
      <c r="H5" s="113"/>
      <c r="I5" s="290"/>
      <c r="J5" s="290"/>
      <c r="K5" s="290"/>
      <c r="L5" s="290"/>
      <c r="M5" s="290"/>
      <c r="N5" s="113" t="s">
        <v>515</v>
      </c>
      <c r="O5" s="88" t="s">
        <v>7</v>
      </c>
      <c r="P5" s="203" t="s">
        <v>782</v>
      </c>
    </row>
    <row r="6" spans="1:19" x14ac:dyDescent="0.25">
      <c r="A6" s="878"/>
      <c r="B6" s="209"/>
      <c r="C6" s="127"/>
      <c r="D6" s="127"/>
      <c r="E6" s="127"/>
      <c r="F6" s="127"/>
      <c r="G6" s="127"/>
      <c r="H6" s="127"/>
      <c r="I6" s="88"/>
      <c r="J6" s="88"/>
      <c r="K6" s="88"/>
      <c r="L6" s="88"/>
      <c r="M6" s="88"/>
      <c r="N6" s="127"/>
      <c r="O6" s="88" t="s">
        <v>8</v>
      </c>
      <c r="P6" s="47" t="s">
        <v>543</v>
      </c>
    </row>
    <row r="7" spans="1:19"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44561</v>
      </c>
      <c r="O7" s="9" t="s">
        <v>9</v>
      </c>
      <c r="P7" s="9" t="s">
        <v>546</v>
      </c>
    </row>
    <row r="8" spans="1:19" ht="13.8" thickTop="1" x14ac:dyDescent="0.25">
      <c r="A8" s="908"/>
      <c r="B8" s="210"/>
      <c r="C8" s="132"/>
      <c r="D8" s="18"/>
      <c r="E8" s="18"/>
      <c r="F8" s="18"/>
      <c r="G8" s="18"/>
      <c r="H8" s="18"/>
      <c r="I8" s="18"/>
      <c r="J8" s="18"/>
      <c r="K8" s="19"/>
      <c r="L8" s="19"/>
      <c r="M8" s="19"/>
      <c r="N8" s="18"/>
      <c r="O8" s="19"/>
      <c r="P8" s="19"/>
    </row>
    <row r="9" spans="1:19" x14ac:dyDescent="0.25">
      <c r="A9" s="881">
        <v>5112</v>
      </c>
      <c r="B9" s="63" t="s">
        <v>159</v>
      </c>
      <c r="C9" s="405">
        <v>63971.3</v>
      </c>
      <c r="D9" s="13">
        <f>4702.2+65911.5</f>
        <v>70613.7</v>
      </c>
      <c r="E9" s="144">
        <v>72732</v>
      </c>
      <c r="F9" s="144">
        <v>74739</v>
      </c>
      <c r="G9" s="144">
        <v>100017.29</v>
      </c>
      <c r="H9" s="144">
        <v>106004.5</v>
      </c>
      <c r="I9" s="13">
        <v>110121.8</v>
      </c>
      <c r="J9" s="13">
        <v>120932.3</v>
      </c>
      <c r="K9" s="14">
        <v>125128</v>
      </c>
      <c r="L9" s="13">
        <v>125128.3</v>
      </c>
      <c r="M9" s="14">
        <v>129397</v>
      </c>
      <c r="N9" s="13">
        <v>57643.49</v>
      </c>
      <c r="O9" s="14">
        <f>ROUND((+'420 DPW'!N74+'420 DPW'!N75+'420 DPW'!N76),0)</f>
        <v>133099</v>
      </c>
      <c r="P9" s="14"/>
    </row>
    <row r="10" spans="1:19" x14ac:dyDescent="0.25">
      <c r="A10" s="881">
        <v>5132</v>
      </c>
      <c r="B10" s="63" t="s">
        <v>191</v>
      </c>
      <c r="C10" s="702">
        <v>3287.13</v>
      </c>
      <c r="D10" s="37">
        <f>283.47+4109.44</f>
        <v>4392.91</v>
      </c>
      <c r="E10" s="233">
        <v>2212.44</v>
      </c>
      <c r="F10" s="233">
        <v>1440</v>
      </c>
      <c r="G10" s="233">
        <v>1576.97</v>
      </c>
      <c r="H10" s="233">
        <v>2867</v>
      </c>
      <c r="I10" s="37">
        <v>2574.35</v>
      </c>
      <c r="J10" s="37">
        <v>2495.06</v>
      </c>
      <c r="K10" s="38">
        <v>4000</v>
      </c>
      <c r="L10" s="37">
        <v>2848.86</v>
      </c>
      <c r="M10" s="38">
        <v>4000</v>
      </c>
      <c r="N10" s="37">
        <v>934.5</v>
      </c>
      <c r="O10" s="38">
        <v>4000</v>
      </c>
      <c r="P10" s="38"/>
    </row>
    <row r="11" spans="1:19" ht="13.8" thickBot="1" x14ac:dyDescent="0.3">
      <c r="A11" s="881">
        <v>5142</v>
      </c>
      <c r="B11" s="63" t="s">
        <v>164</v>
      </c>
      <c r="C11" s="702">
        <v>196.41</v>
      </c>
      <c r="D11" s="37">
        <v>226.1</v>
      </c>
      <c r="E11" s="233">
        <v>201.6</v>
      </c>
      <c r="F11" s="233">
        <v>210</v>
      </c>
      <c r="G11" s="233">
        <v>1.2</v>
      </c>
      <c r="H11" s="233"/>
      <c r="I11" s="37">
        <v>63.06</v>
      </c>
      <c r="J11" s="37"/>
      <c r="K11" s="38">
        <v>250</v>
      </c>
      <c r="L11" s="37">
        <v>15</v>
      </c>
      <c r="M11" s="38">
        <v>250</v>
      </c>
      <c r="N11" s="37">
        <v>9.3800000000000008</v>
      </c>
      <c r="O11" s="38">
        <v>175</v>
      </c>
      <c r="P11" s="38"/>
    </row>
    <row r="12" spans="1:19" x14ac:dyDescent="0.25">
      <c r="A12" s="881"/>
      <c r="B12" s="64" t="s">
        <v>130</v>
      </c>
      <c r="C12" s="717">
        <f t="shared" ref="C12:P12" si="0">SUM(C9:C11)</f>
        <v>67454.840000000011</v>
      </c>
      <c r="D12" s="32">
        <f t="shared" si="0"/>
        <v>75232.710000000006</v>
      </c>
      <c r="E12" s="32">
        <f t="shared" si="0"/>
        <v>75146.040000000008</v>
      </c>
      <c r="F12" s="32">
        <f>SUM(F9:F11)</f>
        <v>76389</v>
      </c>
      <c r="G12" s="32">
        <f>SUM(G9:G11)</f>
        <v>101595.45999999999</v>
      </c>
      <c r="H12" s="32">
        <f>SUM(H9:H11)</f>
        <v>108871.5</v>
      </c>
      <c r="I12" s="32">
        <f t="shared" si="0"/>
        <v>112759.21</v>
      </c>
      <c r="J12" s="32">
        <f t="shared" si="0"/>
        <v>123427.36</v>
      </c>
      <c r="K12" s="33">
        <f>SUM(K9:K11)</f>
        <v>129378</v>
      </c>
      <c r="L12" s="32">
        <f t="shared" ref="L12:M12" si="1">SUM(L9:L11)</f>
        <v>127992.16</v>
      </c>
      <c r="M12" s="33">
        <f t="shared" si="1"/>
        <v>133647</v>
      </c>
      <c r="N12" s="32">
        <f t="shared" si="0"/>
        <v>58587.369999999995</v>
      </c>
      <c r="O12" s="33">
        <f>SUM(O9:O11)</f>
        <v>137274</v>
      </c>
      <c r="P12" s="33">
        <f t="shared" si="0"/>
        <v>0</v>
      </c>
    </row>
    <row r="13" spans="1:19" x14ac:dyDescent="0.25">
      <c r="A13" s="881"/>
      <c r="B13" s="63"/>
      <c r="C13" s="405"/>
      <c r="D13" s="13"/>
      <c r="E13" s="13"/>
      <c r="F13" s="13"/>
      <c r="G13" s="13"/>
      <c r="H13" s="13"/>
      <c r="I13" s="13"/>
      <c r="J13" s="13"/>
      <c r="K13" s="14"/>
      <c r="L13" s="13"/>
      <c r="M13" s="14"/>
      <c r="N13" s="13"/>
      <c r="O13" s="14"/>
      <c r="P13" s="14"/>
    </row>
    <row r="14" spans="1:19" x14ac:dyDescent="0.25">
      <c r="A14" s="881">
        <v>5241</v>
      </c>
      <c r="B14" s="63" t="s">
        <v>868</v>
      </c>
      <c r="C14" s="405"/>
      <c r="D14" s="18"/>
      <c r="E14" s="126">
        <v>2228</v>
      </c>
      <c r="F14" s="126">
        <v>2295</v>
      </c>
      <c r="G14" s="126">
        <v>2364</v>
      </c>
      <c r="H14" s="126">
        <v>2434</v>
      </c>
      <c r="I14" s="18">
        <v>2508</v>
      </c>
      <c r="J14" s="18">
        <v>2583</v>
      </c>
      <c r="K14" s="19">
        <v>3000</v>
      </c>
      <c r="L14" s="18">
        <v>2660</v>
      </c>
      <c r="M14" s="19">
        <v>3000</v>
      </c>
      <c r="N14" s="13">
        <v>2740</v>
      </c>
      <c r="O14" s="19">
        <v>3000</v>
      </c>
      <c r="P14" s="19"/>
    </row>
    <row r="15" spans="1:19" x14ac:dyDescent="0.25">
      <c r="A15" s="881">
        <v>5242</v>
      </c>
      <c r="B15" s="63" t="s">
        <v>197</v>
      </c>
      <c r="C15" s="405">
        <v>12678.44</v>
      </c>
      <c r="D15" s="18">
        <v>14234.46</v>
      </c>
      <c r="E15" s="126">
        <v>21584.59</v>
      </c>
      <c r="F15" s="126">
        <v>12784.57</v>
      </c>
      <c r="G15" s="126">
        <v>9805.6299999999992</v>
      </c>
      <c r="H15" s="126">
        <v>13534.16</v>
      </c>
      <c r="I15" s="18">
        <v>14854.66</v>
      </c>
      <c r="J15" s="18">
        <v>18102.38</v>
      </c>
      <c r="K15" s="19">
        <v>16000</v>
      </c>
      <c r="L15" s="18">
        <v>16510.34</v>
      </c>
      <c r="M15" s="19">
        <v>18000</v>
      </c>
      <c r="N15" s="13">
        <v>5822.35</v>
      </c>
      <c r="O15" s="19">
        <v>18000</v>
      </c>
      <c r="P15" s="19"/>
    </row>
    <row r="16" spans="1:19" x14ac:dyDescent="0.25">
      <c r="A16" s="881">
        <v>5243</v>
      </c>
      <c r="B16" s="63" t="s">
        <v>198</v>
      </c>
      <c r="C16" s="405">
        <v>15167.36</v>
      </c>
      <c r="D16" s="18">
        <v>12103.44</v>
      </c>
      <c r="E16" s="126">
        <v>42549.06</v>
      </c>
      <c r="F16" s="126">
        <v>23614.560000000001</v>
      </c>
      <c r="G16" s="126">
        <v>31462.560000000001</v>
      </c>
      <c r="H16" s="126">
        <v>20342.38</v>
      </c>
      <c r="I16" s="18">
        <v>33925.94</v>
      </c>
      <c r="J16" s="18">
        <v>27147.34</v>
      </c>
      <c r="K16" s="19">
        <v>25000</v>
      </c>
      <c r="L16" s="18">
        <v>15937.72</v>
      </c>
      <c r="M16" s="19">
        <v>25000</v>
      </c>
      <c r="N16" s="13">
        <v>413.15</v>
      </c>
      <c r="O16" s="19">
        <v>25000</v>
      </c>
      <c r="P16" s="19"/>
    </row>
    <row r="17" spans="1:19" x14ac:dyDescent="0.25">
      <c r="A17" s="881">
        <v>5251</v>
      </c>
      <c r="B17" s="63" t="s">
        <v>167</v>
      </c>
      <c r="C17" s="405">
        <v>692.5</v>
      </c>
      <c r="D17" s="18">
        <v>0</v>
      </c>
      <c r="E17" s="126"/>
      <c r="F17" s="126"/>
      <c r="G17" s="126">
        <v>5710.13</v>
      </c>
      <c r="H17" s="126">
        <v>493.99</v>
      </c>
      <c r="I17" s="18">
        <v>0</v>
      </c>
      <c r="J17" s="18">
        <v>1260.6500000000001</v>
      </c>
      <c r="K17" s="19">
        <v>800</v>
      </c>
      <c r="L17" s="18"/>
      <c r="M17" s="19">
        <v>800</v>
      </c>
      <c r="N17" s="13">
        <v>1997.55</v>
      </c>
      <c r="O17" s="19">
        <v>800</v>
      </c>
      <c r="P17" s="19"/>
    </row>
    <row r="18" spans="1:19" x14ac:dyDescent="0.25">
      <c r="A18" s="881">
        <v>5430</v>
      </c>
      <c r="B18" s="63" t="s">
        <v>377</v>
      </c>
      <c r="C18" s="405">
        <v>1946.02</v>
      </c>
      <c r="D18" s="18">
        <v>2231.6999999999998</v>
      </c>
      <c r="E18" s="126">
        <v>1296.46</v>
      </c>
      <c r="F18" s="126">
        <v>2045.7</v>
      </c>
      <c r="G18" s="126">
        <v>2138.9699999999998</v>
      </c>
      <c r="H18" s="126">
        <v>3025.76</v>
      </c>
      <c r="I18" s="18">
        <v>2059.59</v>
      </c>
      <c r="J18" s="18">
        <v>2932.38</v>
      </c>
      <c r="K18" s="19">
        <v>4000</v>
      </c>
      <c r="L18" s="18">
        <v>1210.99</v>
      </c>
      <c r="M18" s="19">
        <v>4000</v>
      </c>
      <c r="N18" s="13">
        <v>1965.94</v>
      </c>
      <c r="O18" s="19">
        <v>3000</v>
      </c>
      <c r="P18" s="19"/>
    </row>
    <row r="19" spans="1:19" x14ac:dyDescent="0.25">
      <c r="A19" s="881">
        <v>5443</v>
      </c>
      <c r="B19" s="12" t="s">
        <v>201</v>
      </c>
      <c r="C19" s="144">
        <v>601.75</v>
      </c>
      <c r="D19" s="18">
        <v>526.84</v>
      </c>
      <c r="E19" s="126">
        <v>1059.18</v>
      </c>
      <c r="F19" s="126">
        <v>1706.79</v>
      </c>
      <c r="G19" s="126">
        <v>1642.64</v>
      </c>
      <c r="H19" s="126">
        <v>10884.74</v>
      </c>
      <c r="I19" s="18">
        <v>2866.67</v>
      </c>
      <c r="J19" s="18">
        <v>7294.42</v>
      </c>
      <c r="K19" s="19">
        <v>4000</v>
      </c>
      <c r="L19" s="18">
        <v>3446.97</v>
      </c>
      <c r="M19" s="19">
        <v>4500</v>
      </c>
      <c r="N19" s="13">
        <v>1624.5</v>
      </c>
      <c r="O19" s="19">
        <v>4500</v>
      </c>
      <c r="P19" s="19"/>
    </row>
    <row r="20" spans="1:19" x14ac:dyDescent="0.25">
      <c r="A20" s="881"/>
      <c r="B20" s="12" t="s">
        <v>1616</v>
      </c>
      <c r="C20" s="233"/>
      <c r="D20" s="30"/>
      <c r="E20" s="320"/>
      <c r="F20" s="320"/>
      <c r="G20" s="320"/>
      <c r="H20" s="320"/>
      <c r="I20" s="30"/>
      <c r="J20" s="30"/>
      <c r="K20" s="31"/>
      <c r="L20" s="30">
        <v>2839.82</v>
      </c>
      <c r="M20" s="31"/>
      <c r="N20" s="37"/>
      <c r="O20" s="31"/>
      <c r="P20" s="31"/>
    </row>
    <row r="21" spans="1:19" ht="13.8" thickBot="1" x14ac:dyDescent="0.3">
      <c r="A21" s="881">
        <v>5451</v>
      </c>
      <c r="B21" s="12" t="s">
        <v>202</v>
      </c>
      <c r="C21" s="318">
        <v>5018.82</v>
      </c>
      <c r="D21" s="15">
        <v>5254.01</v>
      </c>
      <c r="E21" s="318">
        <v>5220.07</v>
      </c>
      <c r="F21" s="318">
        <v>4714.6000000000004</v>
      </c>
      <c r="G21" s="318">
        <v>7479.13</v>
      </c>
      <c r="H21" s="318">
        <v>7438.02</v>
      </c>
      <c r="I21" s="15">
        <v>7961.22</v>
      </c>
      <c r="J21" s="15">
        <v>7547.15</v>
      </c>
      <c r="K21" s="16">
        <v>8000</v>
      </c>
      <c r="L21" s="15">
        <v>5319.19</v>
      </c>
      <c r="M21" s="16">
        <v>9000</v>
      </c>
      <c r="N21" s="15">
        <v>2190.19</v>
      </c>
      <c r="O21" s="16">
        <v>8500</v>
      </c>
      <c r="P21" s="16"/>
    </row>
    <row r="22" spans="1:19" x14ac:dyDescent="0.25">
      <c r="A22" s="881"/>
      <c r="B22" s="17" t="s">
        <v>449</v>
      </c>
      <c r="C22" s="18">
        <f>SUM(C15:C21)</f>
        <v>36104.89</v>
      </c>
      <c r="D22" s="18">
        <f>SUM(D15:D21)</f>
        <v>34350.450000000004</v>
      </c>
      <c r="E22" s="18">
        <f t="shared" ref="E22:P22" si="2">SUM(E14:E21)</f>
        <v>73937.359999999986</v>
      </c>
      <c r="F22" s="18">
        <f t="shared" si="2"/>
        <v>47161.22</v>
      </c>
      <c r="G22" s="18">
        <f t="shared" si="2"/>
        <v>60603.06</v>
      </c>
      <c r="H22" s="18">
        <f t="shared" si="2"/>
        <v>58153.05</v>
      </c>
      <c r="I22" s="18">
        <f t="shared" si="2"/>
        <v>64176.08</v>
      </c>
      <c r="J22" s="18">
        <f t="shared" ref="J22" si="3">SUM(J14:J21)</f>
        <v>66867.319999999992</v>
      </c>
      <c r="K22" s="36">
        <f t="shared" si="2"/>
        <v>60800</v>
      </c>
      <c r="L22" s="18">
        <f t="shared" ref="L22:M22" si="4">SUM(L14:L21)</f>
        <v>47925.03</v>
      </c>
      <c r="M22" s="36">
        <f t="shared" si="4"/>
        <v>64300</v>
      </c>
      <c r="N22" s="18">
        <f t="shared" si="2"/>
        <v>16753.68</v>
      </c>
      <c r="O22" s="36">
        <f t="shared" si="2"/>
        <v>62800</v>
      </c>
      <c r="P22" s="36">
        <f t="shared" si="2"/>
        <v>0</v>
      </c>
    </row>
    <row r="23" spans="1:19" x14ac:dyDescent="0.25">
      <c r="A23" s="881"/>
      <c r="B23" s="12"/>
      <c r="C23" s="13"/>
      <c r="D23" s="13"/>
      <c r="E23" s="13"/>
      <c r="F23" s="13"/>
      <c r="G23" s="13"/>
      <c r="H23" s="13"/>
      <c r="I23" s="13"/>
      <c r="J23" s="13"/>
      <c r="K23" s="14"/>
      <c r="L23" s="13"/>
      <c r="M23" s="14"/>
      <c r="N23" s="13"/>
      <c r="O23" s="14"/>
      <c r="P23" s="14"/>
    </row>
    <row r="24" spans="1:19" ht="13.8" thickBot="1" x14ac:dyDescent="0.3">
      <c r="A24" s="882"/>
      <c r="B24" s="20" t="s">
        <v>458</v>
      </c>
      <c r="C24" s="21">
        <f t="shared" ref="C24:O24" si="5">+C22+C12</f>
        <v>103559.73000000001</v>
      </c>
      <c r="D24" s="21">
        <f t="shared" si="5"/>
        <v>109583.16</v>
      </c>
      <c r="E24" s="21">
        <f t="shared" si="5"/>
        <v>149083.4</v>
      </c>
      <c r="F24" s="21">
        <f t="shared" si="5"/>
        <v>123550.22</v>
      </c>
      <c r="G24" s="21">
        <f t="shared" si="5"/>
        <v>162198.51999999999</v>
      </c>
      <c r="H24" s="21">
        <f t="shared" si="5"/>
        <v>167024.54999999999</v>
      </c>
      <c r="I24" s="21">
        <f t="shared" si="5"/>
        <v>176935.29</v>
      </c>
      <c r="J24" s="21">
        <f t="shared" ref="J24" si="6">+J22+J12</f>
        <v>190294.68</v>
      </c>
      <c r="K24" s="22">
        <f t="shared" si="5"/>
        <v>190178</v>
      </c>
      <c r="L24" s="21">
        <f t="shared" ref="L24:M24" si="7">+L22+L12</f>
        <v>175917.19</v>
      </c>
      <c r="M24" s="22">
        <f t="shared" si="7"/>
        <v>197947</v>
      </c>
      <c r="N24" s="21">
        <f t="shared" si="5"/>
        <v>75341.049999999988</v>
      </c>
      <c r="O24" s="22">
        <f t="shared" si="5"/>
        <v>200074</v>
      </c>
      <c r="P24" s="22">
        <f>+O24</f>
        <v>200074</v>
      </c>
    </row>
    <row r="25" spans="1:19" ht="13.8" thickTop="1" x14ac:dyDescent="0.25">
      <c r="A25" s="876"/>
      <c r="B25" s="4"/>
      <c r="C25" s="23"/>
      <c r="D25" s="23"/>
      <c r="E25" s="23"/>
      <c r="F25" s="23"/>
      <c r="G25" s="23"/>
      <c r="H25" s="23"/>
      <c r="I25" s="23"/>
      <c r="J25" s="23"/>
      <c r="K25" s="23"/>
      <c r="L25" s="23"/>
      <c r="M25" s="23"/>
      <c r="N25" s="27"/>
      <c r="O25" s="23"/>
      <c r="P25" s="23"/>
      <c r="Q25" s="27"/>
      <c r="R25" s="27"/>
      <c r="S25" s="27"/>
    </row>
    <row r="26" spans="1:19" ht="14.4" x14ac:dyDescent="0.3">
      <c r="A26" s="924"/>
      <c r="B26" s="4"/>
      <c r="C26" s="23"/>
      <c r="D26" s="23"/>
      <c r="E26" s="23"/>
      <c r="F26" s="23"/>
      <c r="G26" s="23"/>
      <c r="H26" s="23"/>
      <c r="I26" s="23"/>
      <c r="J26" s="23"/>
      <c r="K26" s="23"/>
      <c r="L26" s="23"/>
      <c r="M26" s="23"/>
      <c r="N26" s="27"/>
      <c r="O26" s="23"/>
      <c r="P26" s="23"/>
      <c r="Q26" s="27"/>
      <c r="R26" s="27"/>
      <c r="S26" s="27"/>
    </row>
    <row r="27" spans="1:19" ht="14.4" x14ac:dyDescent="0.3">
      <c r="A27" s="925"/>
      <c r="B27" s="4"/>
      <c r="C27" s="23"/>
      <c r="D27" s="23"/>
      <c r="E27" s="23"/>
      <c r="F27" s="23"/>
      <c r="G27" s="23"/>
      <c r="H27" s="23"/>
      <c r="I27" s="23"/>
      <c r="J27" s="23"/>
      <c r="K27" s="23"/>
      <c r="L27" s="23"/>
      <c r="M27" s="23"/>
      <c r="N27" s="27"/>
      <c r="O27" s="23"/>
      <c r="P27" s="23"/>
      <c r="Q27" s="27"/>
      <c r="R27" s="27"/>
      <c r="S27" s="27"/>
    </row>
    <row r="28" spans="1:19" ht="15" thickBot="1" x14ac:dyDescent="0.35">
      <c r="A28" s="926"/>
      <c r="B28" s="4"/>
      <c r="C28" s="23"/>
      <c r="D28" s="23"/>
      <c r="E28" s="23"/>
      <c r="F28" s="23"/>
      <c r="G28" s="23"/>
      <c r="H28" s="23"/>
      <c r="I28" s="23"/>
      <c r="J28" s="23"/>
      <c r="K28" s="23"/>
      <c r="L28" s="23"/>
      <c r="M28" s="23"/>
      <c r="N28" s="27"/>
      <c r="O28" s="23"/>
      <c r="P28" s="23"/>
      <c r="Q28" s="27"/>
      <c r="R28" s="27"/>
      <c r="S28" s="27"/>
    </row>
    <row r="29" spans="1:19" ht="13.8" thickTop="1" x14ac:dyDescent="0.25">
      <c r="A29" s="893"/>
      <c r="B29" s="452"/>
      <c r="C29" s="453" t="s">
        <v>127</v>
      </c>
      <c r="D29" s="454" t="s">
        <v>127</v>
      </c>
      <c r="E29" s="454" t="s">
        <v>127</v>
      </c>
      <c r="K29" s="455" t="s">
        <v>547</v>
      </c>
      <c r="L29" s="456" t="s">
        <v>9</v>
      </c>
      <c r="M29" s="457" t="s">
        <v>1073</v>
      </c>
      <c r="N29" s="456" t="s">
        <v>686</v>
      </c>
      <c r="O29" s="458"/>
      <c r="P29" s="457"/>
      <c r="Q29" s="27"/>
      <c r="R29" s="27"/>
      <c r="S29" s="27"/>
    </row>
    <row r="30" spans="1:19" ht="13.8" thickBot="1" x14ac:dyDescent="0.3">
      <c r="A30" s="894" t="s">
        <v>128</v>
      </c>
      <c r="B30" s="459"/>
      <c r="C30" s="460" t="s">
        <v>347</v>
      </c>
      <c r="D30" s="460" t="s">
        <v>722</v>
      </c>
      <c r="E30" s="461" t="s">
        <v>737</v>
      </c>
      <c r="K30" s="462" t="s">
        <v>909</v>
      </c>
      <c r="L30" s="462" t="s">
        <v>910</v>
      </c>
      <c r="M30" s="461" t="s">
        <v>1075</v>
      </c>
      <c r="N30" s="463" t="s">
        <v>1075</v>
      </c>
      <c r="O30" s="464" t="s">
        <v>1074</v>
      </c>
      <c r="P30" s="462"/>
      <c r="Q30" s="27"/>
      <c r="R30" s="27"/>
      <c r="S30" s="27"/>
    </row>
    <row r="31" spans="1:19" ht="13.8" thickTop="1" x14ac:dyDescent="0.25">
      <c r="A31" s="910"/>
      <c r="B31" s="480"/>
      <c r="C31" s="468"/>
      <c r="D31" s="468"/>
      <c r="E31" s="468"/>
      <c r="K31" s="469"/>
      <c r="L31" s="489"/>
      <c r="M31" s="490"/>
      <c r="N31" s="488"/>
      <c r="O31" s="470"/>
      <c r="P31" s="471"/>
      <c r="Q31" s="27"/>
      <c r="R31" s="27"/>
      <c r="S31" s="27"/>
    </row>
    <row r="32" spans="1:19" x14ac:dyDescent="0.25">
      <c r="A32" s="907">
        <v>5112</v>
      </c>
      <c r="B32" s="472" t="s">
        <v>159</v>
      </c>
      <c r="C32" s="476">
        <v>63971.3</v>
      </c>
      <c r="D32" s="476">
        <f>4702.2+65911.5</f>
        <v>70613.7</v>
      </c>
      <c r="E32" s="476">
        <v>72732</v>
      </c>
      <c r="K32" s="475">
        <f>+M9</f>
        <v>129397</v>
      </c>
      <c r="L32" s="497">
        <f>+O9</f>
        <v>133099</v>
      </c>
      <c r="M32" s="500">
        <f t="shared" ref="M32:M41" si="8">+L32-K32</f>
        <v>3702</v>
      </c>
      <c r="N32" s="477">
        <f t="shared" ref="N32:N41" si="9">IF(K32+L32&lt;&gt;0,IF(K32&lt;&gt;0,IF(M32&lt;&gt;0,ROUND((+M32/K32),4),""),1),"")</f>
        <v>2.86E-2</v>
      </c>
      <c r="O32" s="470" t="s">
        <v>1751</v>
      </c>
      <c r="P32" s="471"/>
      <c r="Q32" s="27"/>
      <c r="R32" s="27"/>
      <c r="S32" s="27"/>
    </row>
    <row r="33" spans="1:19" x14ac:dyDescent="0.25">
      <c r="A33" s="907">
        <v>5132</v>
      </c>
      <c r="B33" s="472" t="s">
        <v>191</v>
      </c>
      <c r="C33" s="478">
        <v>3287.13</v>
      </c>
      <c r="D33" s="478">
        <f>283.47+4109.44</f>
        <v>4392.91</v>
      </c>
      <c r="E33" s="478">
        <v>2212.44</v>
      </c>
      <c r="K33" s="475">
        <f>+M10</f>
        <v>4000</v>
      </c>
      <c r="L33" s="497">
        <f>+O10</f>
        <v>4000</v>
      </c>
      <c r="M33" s="500">
        <f t="shared" si="8"/>
        <v>0</v>
      </c>
      <c r="N33" s="477" t="str">
        <f t="shared" si="9"/>
        <v/>
      </c>
      <c r="O33" s="470"/>
      <c r="P33" s="471"/>
      <c r="Q33" s="27"/>
      <c r="R33" s="27"/>
      <c r="S33" s="27"/>
    </row>
    <row r="34" spans="1:19" x14ac:dyDescent="0.25">
      <c r="A34" s="907">
        <v>5142</v>
      </c>
      <c r="B34" s="472" t="s">
        <v>164</v>
      </c>
      <c r="C34" s="478">
        <v>196.41</v>
      </c>
      <c r="D34" s="478">
        <v>226.1</v>
      </c>
      <c r="E34" s="478">
        <v>201.6</v>
      </c>
      <c r="K34" s="475">
        <f>+M11</f>
        <v>250</v>
      </c>
      <c r="L34" s="497">
        <f>+O11</f>
        <v>175</v>
      </c>
      <c r="M34" s="500">
        <f t="shared" si="8"/>
        <v>-75</v>
      </c>
      <c r="N34" s="477">
        <f t="shared" si="9"/>
        <v>-0.3</v>
      </c>
      <c r="O34" s="470" t="s">
        <v>1752</v>
      </c>
      <c r="P34" s="471"/>
      <c r="Q34" s="27"/>
      <c r="R34" s="27"/>
      <c r="S34" s="27"/>
    </row>
    <row r="35" spans="1:19" x14ac:dyDescent="0.25">
      <c r="A35" s="907">
        <v>5241</v>
      </c>
      <c r="B35" s="472" t="s">
        <v>868</v>
      </c>
      <c r="C35" s="476"/>
      <c r="D35" s="468"/>
      <c r="E35" s="468">
        <v>2228</v>
      </c>
      <c r="K35" s="475">
        <f t="shared" ref="K35:K40" si="10">+M14</f>
        <v>3000</v>
      </c>
      <c r="L35" s="497">
        <f t="shared" ref="L35:L40" si="11">+O14</f>
        <v>3000</v>
      </c>
      <c r="M35" s="500">
        <f t="shared" si="8"/>
        <v>0</v>
      </c>
      <c r="N35" s="477" t="str">
        <f t="shared" si="9"/>
        <v/>
      </c>
      <c r="O35" s="470"/>
      <c r="P35" s="471"/>
      <c r="Q35" s="27"/>
      <c r="R35" s="27"/>
      <c r="S35" s="27"/>
    </row>
    <row r="36" spans="1:19" x14ac:dyDescent="0.25">
      <c r="A36" s="907">
        <v>5242</v>
      </c>
      <c r="B36" s="472" t="s">
        <v>197</v>
      </c>
      <c r="C36" s="476">
        <v>12678.44</v>
      </c>
      <c r="D36" s="468">
        <v>14234.46</v>
      </c>
      <c r="E36" s="468">
        <v>21584.59</v>
      </c>
      <c r="K36" s="475">
        <f t="shared" si="10"/>
        <v>18000</v>
      </c>
      <c r="L36" s="497">
        <f t="shared" si="11"/>
        <v>18000</v>
      </c>
      <c r="M36" s="500">
        <f t="shared" si="8"/>
        <v>0</v>
      </c>
      <c r="N36" s="477" t="str">
        <f t="shared" si="9"/>
        <v/>
      </c>
      <c r="O36" s="470"/>
      <c r="P36" s="471"/>
      <c r="Q36" s="27"/>
      <c r="R36" s="27"/>
      <c r="S36" s="27"/>
    </row>
    <row r="37" spans="1:19" x14ac:dyDescent="0.25">
      <c r="A37" s="907">
        <v>5243</v>
      </c>
      <c r="B37" s="472" t="s">
        <v>198</v>
      </c>
      <c r="C37" s="476">
        <v>15167.36</v>
      </c>
      <c r="D37" s="468">
        <v>12103.44</v>
      </c>
      <c r="E37" s="468">
        <v>42549.06</v>
      </c>
      <c r="K37" s="475">
        <f t="shared" si="10"/>
        <v>25000</v>
      </c>
      <c r="L37" s="497">
        <f t="shared" si="11"/>
        <v>25000</v>
      </c>
      <c r="M37" s="500">
        <f t="shared" si="8"/>
        <v>0</v>
      </c>
      <c r="N37" s="477" t="str">
        <f t="shared" si="9"/>
        <v/>
      </c>
      <c r="O37" s="470"/>
      <c r="P37" s="471"/>
      <c r="Q37" s="27"/>
      <c r="R37" s="27"/>
      <c r="S37" s="27"/>
    </row>
    <row r="38" spans="1:19" x14ac:dyDescent="0.25">
      <c r="A38" s="907">
        <v>5251</v>
      </c>
      <c r="B38" s="472" t="s">
        <v>167</v>
      </c>
      <c r="C38" s="476">
        <v>692.5</v>
      </c>
      <c r="D38" s="468">
        <v>0</v>
      </c>
      <c r="E38" s="468"/>
      <c r="K38" s="475">
        <f t="shared" si="10"/>
        <v>800</v>
      </c>
      <c r="L38" s="497">
        <f t="shared" si="11"/>
        <v>800</v>
      </c>
      <c r="M38" s="500">
        <f t="shared" si="8"/>
        <v>0</v>
      </c>
      <c r="N38" s="477" t="str">
        <f t="shared" si="9"/>
        <v/>
      </c>
      <c r="O38" s="470"/>
      <c r="P38" s="471"/>
      <c r="Q38" s="27"/>
      <c r="R38" s="27"/>
      <c r="S38" s="27"/>
    </row>
    <row r="39" spans="1:19" x14ac:dyDescent="0.25">
      <c r="A39" s="907">
        <v>5430</v>
      </c>
      <c r="B39" s="472" t="s">
        <v>377</v>
      </c>
      <c r="C39" s="476">
        <v>1946.02</v>
      </c>
      <c r="D39" s="468">
        <v>2231.6999999999998</v>
      </c>
      <c r="E39" s="468">
        <v>1296.46</v>
      </c>
      <c r="K39" s="475">
        <f t="shared" si="10"/>
        <v>4000</v>
      </c>
      <c r="L39" s="497">
        <f t="shared" si="11"/>
        <v>3000</v>
      </c>
      <c r="M39" s="500">
        <f t="shared" si="8"/>
        <v>-1000</v>
      </c>
      <c r="N39" s="477">
        <f t="shared" si="9"/>
        <v>-0.25</v>
      </c>
      <c r="O39" s="470" t="s">
        <v>1753</v>
      </c>
      <c r="P39" s="471"/>
      <c r="Q39" s="27"/>
      <c r="R39" s="27"/>
      <c r="S39" s="27"/>
    </row>
    <row r="40" spans="1:19" x14ac:dyDescent="0.25">
      <c r="A40" s="907">
        <v>5443</v>
      </c>
      <c r="B40" s="472" t="s">
        <v>201</v>
      </c>
      <c r="C40" s="476">
        <v>601.75</v>
      </c>
      <c r="D40" s="468">
        <v>526.84</v>
      </c>
      <c r="E40" s="468">
        <v>1059.18</v>
      </c>
      <c r="K40" s="475">
        <f t="shared" si="10"/>
        <v>4500</v>
      </c>
      <c r="L40" s="497">
        <f t="shared" si="11"/>
        <v>4500</v>
      </c>
      <c r="M40" s="500">
        <f t="shared" si="8"/>
        <v>0</v>
      </c>
      <c r="N40" s="477" t="str">
        <f t="shared" si="9"/>
        <v/>
      </c>
      <c r="O40" s="470"/>
      <c r="P40" s="471"/>
      <c r="Q40" s="27"/>
      <c r="R40" s="27"/>
      <c r="S40" s="27"/>
    </row>
    <row r="41" spans="1:19" ht="13.8" thickBot="1" x14ac:dyDescent="0.3">
      <c r="A41" s="907">
        <v>5451</v>
      </c>
      <c r="B41" s="472" t="s">
        <v>202</v>
      </c>
      <c r="C41" s="474">
        <v>5018.82</v>
      </c>
      <c r="D41" s="474">
        <v>5254.01</v>
      </c>
      <c r="E41" s="474">
        <v>5220.07</v>
      </c>
      <c r="K41" s="475">
        <f>+M21</f>
        <v>9000</v>
      </c>
      <c r="L41" s="497">
        <f>+O21</f>
        <v>8500</v>
      </c>
      <c r="M41" s="500">
        <f t="shared" si="8"/>
        <v>-500</v>
      </c>
      <c r="N41" s="477">
        <f t="shared" si="9"/>
        <v>-5.5599999999999997E-2</v>
      </c>
      <c r="O41" s="470" t="s">
        <v>1359</v>
      </c>
      <c r="P41" s="471"/>
      <c r="Q41" s="27"/>
      <c r="R41" s="27"/>
      <c r="S41" s="27"/>
    </row>
    <row r="42" spans="1:19" x14ac:dyDescent="0.25">
      <c r="A42" s="876"/>
      <c r="B42" s="4"/>
      <c r="C42" s="23"/>
      <c r="D42" s="23"/>
      <c r="E42" s="23"/>
      <c r="F42" s="23"/>
      <c r="G42" s="23"/>
      <c r="K42" s="23"/>
      <c r="L42" s="23"/>
      <c r="M42" s="23"/>
      <c r="N42" s="4"/>
      <c r="O42" s="23"/>
      <c r="P42" s="23"/>
      <c r="Q42" s="4"/>
      <c r="R42" s="4"/>
      <c r="S42" s="4"/>
    </row>
    <row r="43" spans="1:19" x14ac:dyDescent="0.25">
      <c r="A43" s="876"/>
      <c r="B43" s="4" t="s">
        <v>1363</v>
      </c>
      <c r="C43" s="23"/>
      <c r="D43" s="23"/>
      <c r="E43" s="23"/>
      <c r="F43" s="23"/>
      <c r="G43" s="23"/>
      <c r="K43" s="742">
        <f>SUM(K32:K42)</f>
        <v>197947</v>
      </c>
      <c r="L43" s="742">
        <f>SUM(L32:L42)</f>
        <v>200074</v>
      </c>
      <c r="M43" s="202">
        <f>+L43-K43</f>
        <v>2127</v>
      </c>
      <c r="N43" s="743">
        <f>IF(K43+L43&lt;&gt;0,IF(K43&lt;&gt;0,IF(M43&lt;&gt;0,ROUND((+M43/K43),4),""),1),"")</f>
        <v>1.0699999999999999E-2</v>
      </c>
      <c r="O43" s="23"/>
      <c r="P43" s="23"/>
      <c r="Q43" s="4"/>
      <c r="R43" s="4"/>
      <c r="S43" s="4"/>
    </row>
    <row r="44" spans="1:19" x14ac:dyDescent="0.25">
      <c r="A44" s="876"/>
      <c r="B44" s="4"/>
      <c r="C44" s="23"/>
      <c r="D44" s="23"/>
      <c r="E44" s="23"/>
      <c r="F44" s="23"/>
      <c r="G44" s="23"/>
      <c r="H44" s="23"/>
      <c r="I44" s="23"/>
      <c r="J44" s="23"/>
      <c r="K44" s="23"/>
      <c r="L44" s="23"/>
      <c r="M44" s="23"/>
      <c r="N44" s="4"/>
      <c r="O44" s="23"/>
      <c r="P44" s="23"/>
      <c r="Q44" s="4"/>
      <c r="R44" s="4"/>
      <c r="S44" s="4"/>
    </row>
    <row r="45" spans="1:19" x14ac:dyDescent="0.25">
      <c r="A45" s="876"/>
      <c r="B45" s="4"/>
      <c r="C45" s="23"/>
      <c r="D45" s="23"/>
      <c r="E45" s="23"/>
      <c r="F45" s="23"/>
      <c r="G45" s="23"/>
      <c r="H45" s="23"/>
      <c r="I45" s="23"/>
      <c r="J45" s="23"/>
      <c r="K45" s="23"/>
      <c r="L45" s="23"/>
      <c r="M45" s="23"/>
      <c r="N45" s="4"/>
      <c r="O45" s="23"/>
      <c r="P45" s="23"/>
      <c r="Q45" s="4"/>
      <c r="R45" s="4"/>
      <c r="S45" s="4"/>
    </row>
    <row r="46" spans="1:19" x14ac:dyDescent="0.25">
      <c r="A46" s="876"/>
      <c r="B46" s="4"/>
      <c r="C46" s="23"/>
      <c r="D46" s="23"/>
      <c r="E46" s="23"/>
      <c r="F46" s="23"/>
      <c r="G46" s="23"/>
      <c r="H46" s="23"/>
      <c r="I46" s="23"/>
      <c r="J46" s="23"/>
      <c r="K46" s="23"/>
      <c r="L46" s="23"/>
      <c r="M46" s="23"/>
      <c r="N46" s="4"/>
      <c r="O46" s="23"/>
      <c r="P46" s="23"/>
      <c r="Q46" s="4"/>
      <c r="R46" s="4"/>
      <c r="S46" s="4"/>
    </row>
    <row r="47" spans="1:19" x14ac:dyDescent="0.25">
      <c r="A47" s="876"/>
      <c r="B47" s="4"/>
      <c r="C47" s="23"/>
      <c r="D47" s="23"/>
      <c r="E47" s="23"/>
      <c r="F47" s="23"/>
      <c r="G47" s="23"/>
      <c r="H47" s="23"/>
      <c r="I47" s="23"/>
      <c r="J47" s="23"/>
      <c r="K47" s="23"/>
      <c r="L47" s="23"/>
      <c r="M47" s="23"/>
      <c r="N47" s="4"/>
      <c r="O47" s="23"/>
      <c r="P47" s="23"/>
      <c r="Q47" s="4"/>
      <c r="R47" s="4"/>
      <c r="S47" s="4"/>
    </row>
    <row r="48" spans="1:19" x14ac:dyDescent="0.25">
      <c r="A48" s="876"/>
      <c r="B48" s="4"/>
      <c r="C48" s="23"/>
      <c r="D48" s="23"/>
      <c r="E48" s="23"/>
      <c r="F48" s="23"/>
      <c r="G48" s="23"/>
      <c r="H48" s="23"/>
      <c r="I48" s="23"/>
      <c r="J48" s="23"/>
      <c r="K48" s="23"/>
      <c r="L48" s="23"/>
      <c r="M48" s="23"/>
      <c r="N48" s="4"/>
      <c r="O48" s="23"/>
      <c r="P48" s="23"/>
      <c r="Q48" s="4"/>
      <c r="R48" s="4"/>
      <c r="S48" s="4"/>
    </row>
    <row r="49" spans="1:19" x14ac:dyDescent="0.25">
      <c r="A49" s="876"/>
      <c r="B49" s="4"/>
      <c r="C49" s="23"/>
      <c r="D49" s="23"/>
      <c r="E49" s="23"/>
      <c r="F49" s="23"/>
      <c r="G49" s="23"/>
      <c r="H49" s="23"/>
      <c r="I49" s="23"/>
      <c r="J49" s="23"/>
      <c r="K49" s="23"/>
      <c r="L49" s="23"/>
      <c r="M49" s="23"/>
      <c r="N49" s="4"/>
      <c r="O49" s="23"/>
      <c r="P49" s="23"/>
      <c r="Q49" s="4"/>
      <c r="R49" s="4"/>
      <c r="S49" s="4"/>
    </row>
    <row r="50" spans="1:19" x14ac:dyDescent="0.25">
      <c r="A50" s="876"/>
      <c r="B50" s="4"/>
      <c r="C50" s="23"/>
      <c r="D50" s="23"/>
      <c r="E50" s="23"/>
      <c r="F50" s="23"/>
      <c r="G50" s="23"/>
      <c r="H50" s="23"/>
      <c r="I50" s="23"/>
      <c r="J50" s="23"/>
      <c r="K50" s="23"/>
      <c r="L50" s="23"/>
      <c r="M50" s="23"/>
      <c r="N50" s="4"/>
      <c r="O50" s="23"/>
      <c r="P50" s="23"/>
      <c r="Q50" s="4"/>
      <c r="R50" s="4"/>
      <c r="S50" s="4"/>
    </row>
    <row r="51" spans="1:19" x14ac:dyDescent="0.25">
      <c r="A51" s="876"/>
      <c r="B51" s="4"/>
      <c r="C51" s="23"/>
      <c r="D51" s="23"/>
      <c r="E51" s="23"/>
      <c r="F51" s="23"/>
      <c r="G51" s="23"/>
      <c r="H51" s="23"/>
      <c r="I51" s="23"/>
      <c r="J51" s="23"/>
      <c r="K51" s="23"/>
      <c r="L51" s="23"/>
      <c r="M51" s="23"/>
      <c r="N51" s="4"/>
      <c r="O51" s="23"/>
      <c r="P51" s="23"/>
      <c r="Q51" s="4"/>
      <c r="R51" s="4"/>
      <c r="S51" s="4"/>
    </row>
    <row r="52" spans="1:19" x14ac:dyDescent="0.25">
      <c r="A52" s="876"/>
      <c r="B52" s="4"/>
      <c r="C52" s="23"/>
      <c r="D52" s="23"/>
      <c r="E52" s="23"/>
      <c r="F52" s="23"/>
      <c r="G52" s="23"/>
      <c r="H52" s="23"/>
      <c r="I52" s="23"/>
      <c r="J52" s="23"/>
      <c r="K52" s="23"/>
      <c r="L52" s="23"/>
      <c r="M52" s="23"/>
      <c r="N52" s="4"/>
      <c r="O52" s="23"/>
      <c r="P52" s="23"/>
      <c r="Q52" s="4"/>
      <c r="R52" s="4"/>
      <c r="S52" s="4"/>
    </row>
    <row r="53" spans="1:19" x14ac:dyDescent="0.25">
      <c r="A53" s="876"/>
      <c r="B53" s="4"/>
      <c r="C53" s="23"/>
      <c r="D53" s="23"/>
      <c r="E53" s="23"/>
      <c r="F53" s="23"/>
      <c r="G53" s="23"/>
      <c r="H53" s="23"/>
      <c r="I53" s="23"/>
      <c r="J53" s="23"/>
      <c r="K53" s="23"/>
      <c r="L53" s="23"/>
      <c r="M53" s="23"/>
      <c r="N53" s="4"/>
      <c r="O53" s="23"/>
      <c r="P53" s="23"/>
      <c r="Q53" s="4"/>
      <c r="R53" s="4"/>
      <c r="S53" s="4"/>
    </row>
    <row r="54" spans="1:19" x14ac:dyDescent="0.25">
      <c r="A54" s="876"/>
      <c r="B54" s="4"/>
      <c r="C54" s="23"/>
      <c r="D54" s="23"/>
      <c r="E54" s="23"/>
      <c r="F54" s="23"/>
      <c r="G54" s="23"/>
      <c r="H54" s="23"/>
      <c r="I54" s="23"/>
      <c r="J54" s="23"/>
      <c r="K54" s="23"/>
      <c r="L54" s="23"/>
      <c r="M54" s="23"/>
      <c r="N54" s="4"/>
      <c r="O54" s="23"/>
      <c r="P54" s="23"/>
      <c r="Q54" s="4"/>
      <c r="R54" s="4"/>
      <c r="S54" s="4"/>
    </row>
    <row r="55" spans="1:19" x14ac:dyDescent="0.25">
      <c r="A55" s="876"/>
      <c r="B55" s="4"/>
      <c r="C55" s="23"/>
      <c r="D55" s="23"/>
      <c r="E55" s="23"/>
      <c r="F55" s="23"/>
      <c r="G55" s="23"/>
      <c r="H55" s="23"/>
      <c r="I55" s="23"/>
      <c r="J55" s="23"/>
      <c r="K55" s="23"/>
      <c r="L55" s="23"/>
      <c r="M55" s="23"/>
      <c r="N55" s="4"/>
      <c r="O55" s="23"/>
      <c r="P55" s="23"/>
      <c r="Q55" s="4"/>
      <c r="R55" s="4"/>
      <c r="S55" s="4"/>
    </row>
    <row r="56" spans="1:19" x14ac:dyDescent="0.25">
      <c r="A56" s="876"/>
      <c r="B56" s="4"/>
      <c r="C56" s="23"/>
      <c r="D56" s="23"/>
      <c r="E56" s="23"/>
      <c r="F56" s="23"/>
      <c r="G56" s="23"/>
      <c r="H56" s="23"/>
      <c r="I56" s="23"/>
      <c r="J56" s="23"/>
      <c r="K56" s="23"/>
      <c r="L56" s="23"/>
      <c r="M56" s="23"/>
      <c r="N56" s="4"/>
      <c r="O56" s="23"/>
      <c r="P56" s="23"/>
      <c r="Q56" s="4"/>
      <c r="R56" s="4"/>
      <c r="S56" s="4"/>
    </row>
    <row r="57" spans="1:19" x14ac:dyDescent="0.25">
      <c r="A57" s="876"/>
      <c r="B57" s="4"/>
      <c r="C57" s="23"/>
      <c r="D57" s="23"/>
      <c r="E57" s="23"/>
      <c r="F57" s="23"/>
      <c r="G57" s="23"/>
      <c r="H57" s="23"/>
      <c r="I57" s="23"/>
      <c r="J57" s="23"/>
      <c r="K57" s="23"/>
      <c r="L57" s="23"/>
      <c r="M57" s="23"/>
      <c r="N57" s="4"/>
      <c r="O57" s="23"/>
      <c r="P57" s="23"/>
      <c r="Q57" s="4"/>
      <c r="R57" s="4"/>
      <c r="S57" s="4"/>
    </row>
    <row r="58" spans="1:19" x14ac:dyDescent="0.25">
      <c r="A58" s="876"/>
      <c r="B58" s="4"/>
      <c r="C58" s="23"/>
      <c r="D58" s="23"/>
      <c r="E58" s="23"/>
      <c r="F58" s="23"/>
      <c r="G58" s="23"/>
      <c r="H58" s="23"/>
      <c r="I58" s="23"/>
      <c r="J58" s="23"/>
      <c r="K58" s="23"/>
      <c r="L58" s="23"/>
      <c r="M58" s="23"/>
      <c r="N58" s="4"/>
      <c r="O58" s="23"/>
      <c r="P58" s="23"/>
      <c r="Q58" s="4"/>
      <c r="R58" s="4"/>
      <c r="S58" s="4"/>
    </row>
    <row r="59" spans="1:19" x14ac:dyDescent="0.25">
      <c r="A59" s="876"/>
      <c r="B59" s="4"/>
      <c r="C59" s="23"/>
      <c r="D59" s="23"/>
      <c r="E59" s="23"/>
      <c r="F59" s="23"/>
      <c r="G59" s="23"/>
      <c r="H59" s="23"/>
      <c r="I59" s="23"/>
      <c r="J59" s="23"/>
      <c r="K59" s="23"/>
      <c r="L59" s="23"/>
      <c r="M59" s="23"/>
      <c r="N59" s="4"/>
      <c r="O59" s="23"/>
      <c r="P59" s="23"/>
      <c r="Q59" s="4"/>
      <c r="R59" s="4"/>
      <c r="S59" s="4"/>
    </row>
    <row r="60" spans="1:19" x14ac:dyDescent="0.25">
      <c r="A60" s="876"/>
      <c r="B60" s="4"/>
      <c r="C60" s="23"/>
      <c r="D60" s="23"/>
      <c r="E60" s="23"/>
      <c r="F60" s="23"/>
      <c r="G60" s="23"/>
      <c r="H60" s="23"/>
      <c r="I60" s="23"/>
      <c r="J60" s="23"/>
      <c r="K60" s="23"/>
      <c r="L60" s="23"/>
      <c r="M60" s="23"/>
      <c r="N60" s="4"/>
      <c r="O60" s="23"/>
      <c r="P60" s="23"/>
      <c r="Q60" s="4"/>
      <c r="R60" s="4"/>
      <c r="S60" s="4"/>
    </row>
    <row r="61" spans="1:19" x14ac:dyDescent="0.25">
      <c r="A61" s="876"/>
      <c r="B61" s="4"/>
      <c r="C61" s="23"/>
      <c r="D61" s="23"/>
      <c r="E61" s="23"/>
      <c r="F61" s="23"/>
      <c r="G61" s="23"/>
      <c r="H61" s="23"/>
      <c r="I61" s="23"/>
      <c r="J61" s="23"/>
      <c r="K61" s="23"/>
      <c r="L61" s="23"/>
      <c r="M61" s="23"/>
      <c r="N61" s="4"/>
      <c r="O61" s="23"/>
      <c r="P61" s="23"/>
      <c r="Q61" s="4"/>
      <c r="R61" s="4"/>
      <c r="S61" s="4"/>
    </row>
    <row r="62" spans="1:19" x14ac:dyDescent="0.25">
      <c r="A62" s="876"/>
      <c r="B62" s="4"/>
      <c r="C62" s="23"/>
      <c r="D62" s="23"/>
      <c r="E62" s="23"/>
      <c r="F62" s="23"/>
      <c r="G62" s="23"/>
      <c r="H62" s="23"/>
      <c r="I62" s="23"/>
      <c r="J62" s="23"/>
      <c r="K62" s="23"/>
      <c r="L62" s="23"/>
      <c r="M62" s="23"/>
      <c r="N62" s="4"/>
      <c r="O62" s="23"/>
      <c r="P62" s="23"/>
      <c r="Q62" s="4"/>
      <c r="R62" s="4"/>
      <c r="S62" s="4"/>
    </row>
    <row r="63" spans="1:19" x14ac:dyDescent="0.25">
      <c r="A63" s="876"/>
      <c r="B63" s="4"/>
      <c r="C63" s="23"/>
      <c r="D63" s="23"/>
      <c r="E63" s="23"/>
      <c r="F63" s="23"/>
      <c r="G63" s="23"/>
      <c r="H63" s="23"/>
      <c r="I63" s="23"/>
      <c r="J63" s="23"/>
      <c r="K63" s="23"/>
      <c r="L63" s="23"/>
      <c r="M63" s="23"/>
      <c r="N63" s="4"/>
      <c r="O63" s="23"/>
      <c r="P63" s="23"/>
      <c r="Q63" s="4"/>
      <c r="R63" s="4"/>
      <c r="S63" s="4"/>
    </row>
    <row r="64" spans="1:19" x14ac:dyDescent="0.25">
      <c r="A64" s="876"/>
      <c r="B64" s="4"/>
      <c r="C64" s="23"/>
      <c r="D64" s="23"/>
      <c r="E64" s="23"/>
      <c r="F64" s="23"/>
      <c r="G64" s="23"/>
      <c r="H64" s="23"/>
      <c r="I64" s="23"/>
      <c r="J64" s="23"/>
      <c r="K64" s="23"/>
      <c r="L64" s="23"/>
      <c r="M64" s="23"/>
      <c r="N64" s="4"/>
      <c r="O64" s="23"/>
      <c r="P64" s="23"/>
      <c r="Q64" s="4"/>
      <c r="R64" s="4"/>
      <c r="S64" s="4"/>
    </row>
    <row r="65" spans="1:19" x14ac:dyDescent="0.25">
      <c r="A65" s="876"/>
      <c r="B65" s="4"/>
      <c r="C65" s="23"/>
      <c r="D65" s="23"/>
      <c r="E65" s="23"/>
      <c r="F65" s="23"/>
      <c r="G65" s="23"/>
      <c r="H65" s="23"/>
      <c r="I65" s="23"/>
      <c r="J65" s="23"/>
      <c r="K65" s="23"/>
      <c r="L65" s="23"/>
      <c r="M65" s="23"/>
      <c r="N65" s="4"/>
      <c r="O65" s="23"/>
      <c r="P65" s="23"/>
      <c r="Q65" s="4"/>
      <c r="R65" s="4"/>
      <c r="S65" s="4"/>
    </row>
    <row r="66" spans="1:19" x14ac:dyDescent="0.25">
      <c r="A66" s="876"/>
      <c r="B66" s="4"/>
      <c r="C66" s="23"/>
      <c r="D66" s="23"/>
      <c r="E66" s="23"/>
      <c r="F66" s="23"/>
      <c r="G66" s="23"/>
      <c r="H66" s="23"/>
      <c r="I66" s="23"/>
      <c r="J66" s="23"/>
      <c r="K66" s="23"/>
      <c r="L66" s="23"/>
      <c r="M66" s="23"/>
      <c r="N66" s="4"/>
      <c r="O66" s="23"/>
      <c r="P66" s="23"/>
      <c r="Q66" s="4"/>
      <c r="R66" s="4"/>
      <c r="S66" s="4"/>
    </row>
    <row r="67" spans="1:19" x14ac:dyDescent="0.25">
      <c r="A67" s="876"/>
      <c r="B67" s="4"/>
      <c r="C67" s="23"/>
      <c r="D67" s="23"/>
      <c r="E67" s="23"/>
      <c r="F67" s="23"/>
      <c r="G67" s="23"/>
      <c r="H67" s="23"/>
      <c r="I67" s="23"/>
      <c r="J67" s="23"/>
      <c r="K67" s="23"/>
      <c r="L67" s="23"/>
      <c r="M67" s="23"/>
      <c r="N67" s="4"/>
      <c r="O67" s="23"/>
      <c r="P67" s="23"/>
      <c r="Q67" s="4"/>
      <c r="R67" s="4"/>
      <c r="S67" s="4"/>
    </row>
    <row r="68" spans="1:19" x14ac:dyDescent="0.25">
      <c r="A68" s="876"/>
      <c r="B68" s="4"/>
      <c r="C68" s="23"/>
      <c r="D68" s="23"/>
      <c r="E68" s="23"/>
      <c r="F68" s="23"/>
      <c r="G68" s="23"/>
      <c r="H68" s="23"/>
      <c r="I68" s="23"/>
      <c r="J68" s="23"/>
      <c r="K68" s="23"/>
      <c r="L68" s="23"/>
      <c r="M68" s="23"/>
      <c r="N68" s="4"/>
      <c r="O68" s="23"/>
      <c r="P68" s="23"/>
      <c r="Q68" s="4"/>
      <c r="R68" s="4"/>
      <c r="S68" s="4"/>
    </row>
    <row r="69" spans="1:19" x14ac:dyDescent="0.25">
      <c r="A69" s="876"/>
      <c r="B69" s="4"/>
      <c r="C69" s="23"/>
      <c r="D69" s="23"/>
      <c r="E69" s="23"/>
      <c r="F69" s="23"/>
      <c r="G69" s="23"/>
      <c r="H69" s="23"/>
      <c r="I69" s="23"/>
      <c r="J69" s="23"/>
      <c r="K69" s="23"/>
      <c r="L69" s="23"/>
      <c r="M69" s="23"/>
      <c r="N69" s="4"/>
      <c r="O69" s="23"/>
      <c r="P69" s="23"/>
      <c r="Q69" s="4"/>
      <c r="R69" s="4"/>
      <c r="S69" s="4"/>
    </row>
    <row r="70" spans="1:19" x14ac:dyDescent="0.25">
      <c r="A70" s="876"/>
      <c r="B70" s="4"/>
      <c r="C70" s="23"/>
      <c r="D70" s="23"/>
      <c r="E70" s="23"/>
      <c r="F70" s="23"/>
      <c r="G70" s="23"/>
      <c r="H70" s="23"/>
      <c r="I70" s="23"/>
      <c r="J70" s="23"/>
      <c r="K70" s="23"/>
      <c r="L70" s="23"/>
      <c r="M70" s="23"/>
      <c r="N70" s="4"/>
      <c r="O70" s="23"/>
      <c r="P70" s="23"/>
      <c r="Q70" s="4"/>
      <c r="R70" s="4"/>
      <c r="S70" s="4"/>
    </row>
    <row r="71" spans="1:19" x14ac:dyDescent="0.25">
      <c r="A71" s="876"/>
      <c r="B71" s="4"/>
      <c r="C71" s="23"/>
      <c r="D71" s="23"/>
      <c r="E71" s="23"/>
      <c r="F71" s="23"/>
      <c r="G71" s="23"/>
      <c r="H71" s="23"/>
      <c r="I71" s="23"/>
      <c r="J71" s="23"/>
      <c r="K71" s="23"/>
      <c r="L71" s="23"/>
      <c r="M71" s="23"/>
      <c r="N71" s="4"/>
      <c r="O71" s="23"/>
      <c r="P71" s="23"/>
      <c r="Q71" s="4"/>
      <c r="R71" s="4"/>
      <c r="S71" s="4"/>
    </row>
    <row r="72" spans="1:19" x14ac:dyDescent="0.25">
      <c r="A72" s="876"/>
      <c r="B72" s="4"/>
      <c r="C72" s="23"/>
      <c r="D72" s="23"/>
      <c r="E72" s="23"/>
      <c r="F72" s="23"/>
      <c r="G72" s="23"/>
      <c r="H72" s="23"/>
      <c r="I72" s="23"/>
      <c r="J72" s="23"/>
      <c r="K72" s="23"/>
      <c r="L72" s="23"/>
      <c r="M72" s="23"/>
      <c r="N72" s="4"/>
      <c r="O72" s="23"/>
      <c r="P72" s="23"/>
      <c r="Q72" s="4"/>
      <c r="R72" s="4"/>
      <c r="S72" s="4"/>
    </row>
    <row r="73" spans="1:19" x14ac:dyDescent="0.25">
      <c r="A73" s="876"/>
      <c r="B73" s="4"/>
      <c r="C73" s="23"/>
      <c r="D73" s="23"/>
      <c r="E73" s="23"/>
      <c r="F73" s="23"/>
      <c r="G73" s="23"/>
      <c r="H73" s="23"/>
      <c r="I73" s="23"/>
      <c r="J73" s="23"/>
      <c r="K73" s="23"/>
      <c r="L73" s="23"/>
      <c r="M73" s="23"/>
      <c r="N73" s="4"/>
      <c r="O73" s="23"/>
      <c r="P73" s="23"/>
      <c r="Q73" s="4"/>
      <c r="R73" s="4"/>
      <c r="S73" s="4"/>
    </row>
    <row r="74" spans="1:19" x14ac:dyDescent="0.25">
      <c r="A74" s="876"/>
      <c r="B74" s="4"/>
      <c r="C74" s="23"/>
      <c r="D74" s="23"/>
      <c r="E74" s="23"/>
      <c r="F74" s="23"/>
      <c r="G74" s="23"/>
      <c r="H74" s="23"/>
      <c r="I74" s="23"/>
      <c r="J74" s="23"/>
      <c r="K74" s="23"/>
      <c r="L74" s="23"/>
      <c r="M74" s="23"/>
      <c r="N74" s="4"/>
      <c r="O74" s="23"/>
      <c r="P74" s="23"/>
      <c r="Q74" s="4"/>
      <c r="R74" s="4"/>
      <c r="S74" s="4"/>
    </row>
    <row r="75" spans="1:19" x14ac:dyDescent="0.25">
      <c r="A75" s="876"/>
      <c r="B75" s="4"/>
      <c r="C75" s="23"/>
      <c r="D75" s="23"/>
      <c r="E75" s="23"/>
      <c r="F75" s="23"/>
      <c r="G75" s="23"/>
      <c r="H75" s="23"/>
      <c r="I75" s="23"/>
      <c r="J75" s="23"/>
      <c r="K75" s="23"/>
      <c r="L75" s="23"/>
      <c r="M75" s="23"/>
      <c r="N75" s="4"/>
      <c r="O75" s="23"/>
      <c r="P75" s="23"/>
      <c r="Q75" s="4"/>
      <c r="R75" s="4"/>
      <c r="S75" s="4"/>
    </row>
    <row r="76" spans="1:19" x14ac:dyDescent="0.25">
      <c r="A76" s="876"/>
      <c r="B76" s="4"/>
      <c r="C76" s="23"/>
      <c r="D76" s="23"/>
      <c r="E76" s="23"/>
      <c r="F76" s="23"/>
      <c r="G76" s="23"/>
      <c r="H76" s="23"/>
      <c r="I76" s="23"/>
      <c r="J76" s="23"/>
      <c r="K76" s="23"/>
      <c r="L76" s="23"/>
      <c r="M76" s="23"/>
      <c r="N76" s="4"/>
      <c r="O76" s="23"/>
      <c r="P76" s="23"/>
      <c r="Q76" s="4"/>
      <c r="R76" s="4"/>
      <c r="S76" s="4"/>
    </row>
    <row r="77" spans="1:19" x14ac:dyDescent="0.25">
      <c r="A77" s="876"/>
      <c r="B77" s="4"/>
      <c r="C77" s="23"/>
      <c r="D77" s="23"/>
      <c r="E77" s="23"/>
      <c r="F77" s="23"/>
      <c r="G77" s="23"/>
      <c r="H77" s="23"/>
      <c r="I77" s="23"/>
      <c r="J77" s="23"/>
      <c r="K77" s="23"/>
      <c r="L77" s="23"/>
      <c r="M77" s="23"/>
      <c r="N77" s="4"/>
      <c r="O77" s="23"/>
      <c r="P77" s="23"/>
      <c r="Q77" s="4"/>
      <c r="R77" s="4"/>
      <c r="S77" s="4"/>
    </row>
    <row r="78" spans="1:19" x14ac:dyDescent="0.25">
      <c r="A78" s="876"/>
      <c r="B78" s="4"/>
      <c r="C78" s="23"/>
      <c r="D78" s="23"/>
      <c r="E78" s="23"/>
      <c r="F78" s="23"/>
      <c r="G78" s="23"/>
      <c r="H78" s="23"/>
      <c r="I78" s="23"/>
      <c r="J78" s="23"/>
      <c r="K78" s="23"/>
      <c r="L78" s="23"/>
      <c r="M78" s="23"/>
      <c r="N78" s="4"/>
      <c r="O78" s="23"/>
      <c r="P78" s="23"/>
      <c r="Q78" s="4"/>
      <c r="R78" s="4"/>
      <c r="S78" s="4"/>
    </row>
    <row r="79" spans="1:19" x14ac:dyDescent="0.25">
      <c r="A79" s="876"/>
      <c r="B79" s="4"/>
      <c r="C79" s="23"/>
      <c r="D79" s="23"/>
      <c r="E79" s="23"/>
      <c r="F79" s="23"/>
      <c r="G79" s="23"/>
      <c r="H79" s="23"/>
      <c r="I79" s="23"/>
      <c r="J79" s="23"/>
      <c r="K79" s="23"/>
      <c r="L79" s="23"/>
      <c r="M79" s="23"/>
      <c r="N79" s="4"/>
      <c r="O79" s="23"/>
      <c r="P79" s="23"/>
      <c r="Q79" s="4"/>
      <c r="R79" s="4"/>
      <c r="S79" s="4"/>
    </row>
    <row r="80" spans="1:19" x14ac:dyDescent="0.25">
      <c r="A80" s="876"/>
      <c r="B80" s="4"/>
      <c r="C80" s="23"/>
      <c r="D80" s="23"/>
      <c r="E80" s="23"/>
      <c r="F80" s="23"/>
      <c r="G80" s="23"/>
      <c r="H80" s="23"/>
      <c r="I80" s="23"/>
      <c r="J80" s="23"/>
      <c r="K80" s="23"/>
      <c r="L80" s="23"/>
      <c r="M80" s="23"/>
      <c r="N80" s="4"/>
      <c r="O80" s="23"/>
      <c r="P80" s="23"/>
      <c r="Q80" s="4"/>
      <c r="R80" s="4"/>
      <c r="S80" s="4"/>
    </row>
    <row r="81" spans="1:19" x14ac:dyDescent="0.25">
      <c r="A81" s="876"/>
      <c r="B81" s="4"/>
      <c r="C81" s="23"/>
      <c r="D81" s="23"/>
      <c r="E81" s="23"/>
      <c r="F81" s="23"/>
      <c r="G81" s="23"/>
      <c r="H81" s="23"/>
      <c r="I81" s="23"/>
      <c r="J81" s="23"/>
      <c r="K81" s="23"/>
      <c r="L81" s="23"/>
      <c r="M81" s="23"/>
      <c r="N81" s="4"/>
      <c r="O81" s="23"/>
      <c r="P81" s="23"/>
      <c r="Q81" s="4"/>
      <c r="R81" s="4"/>
      <c r="S81" s="4"/>
    </row>
    <row r="82" spans="1:19" x14ac:dyDescent="0.25">
      <c r="A82" s="876"/>
      <c r="B82" s="4"/>
      <c r="C82" s="23"/>
      <c r="D82" s="23"/>
      <c r="E82" s="23"/>
      <c r="F82" s="23"/>
      <c r="G82" s="23"/>
      <c r="H82" s="23"/>
      <c r="I82" s="23"/>
      <c r="J82" s="23"/>
      <c r="K82" s="23"/>
      <c r="L82" s="23"/>
      <c r="M82" s="23"/>
      <c r="N82" s="4"/>
      <c r="O82" s="23"/>
      <c r="P82" s="23"/>
      <c r="Q82" s="4"/>
      <c r="R82" s="4"/>
      <c r="S82" s="4"/>
    </row>
    <row r="83" spans="1:19" x14ac:dyDescent="0.25">
      <c r="A83" s="876"/>
      <c r="B83" s="4"/>
      <c r="C83" s="23"/>
      <c r="D83" s="23"/>
      <c r="E83" s="23"/>
      <c r="F83" s="23"/>
      <c r="G83" s="23"/>
      <c r="H83" s="23"/>
      <c r="I83" s="23"/>
      <c r="J83" s="23"/>
      <c r="K83" s="23"/>
      <c r="L83" s="23"/>
      <c r="M83" s="23"/>
      <c r="N83" s="4"/>
      <c r="O83" s="23"/>
      <c r="P83" s="23"/>
      <c r="Q83" s="4"/>
      <c r="R83" s="4"/>
      <c r="S83" s="4"/>
    </row>
    <row r="84" spans="1:19" x14ac:dyDescent="0.25">
      <c r="A84" s="876"/>
      <c r="B84" s="4"/>
      <c r="C84" s="23"/>
      <c r="D84" s="23"/>
      <c r="E84" s="23"/>
      <c r="F84" s="23"/>
      <c r="G84" s="23"/>
      <c r="H84" s="23"/>
      <c r="I84" s="23"/>
      <c r="J84" s="23"/>
      <c r="K84" s="23"/>
      <c r="L84" s="23"/>
      <c r="M84" s="23"/>
      <c r="N84" s="4"/>
      <c r="O84" s="23"/>
      <c r="P84" s="23"/>
      <c r="Q84" s="4"/>
      <c r="R84" s="4"/>
      <c r="S84" s="4"/>
    </row>
    <row r="85" spans="1:19" x14ac:dyDescent="0.25">
      <c r="A85" s="876"/>
      <c r="B85" s="4"/>
      <c r="C85" s="23"/>
      <c r="D85" s="23"/>
      <c r="E85" s="23"/>
      <c r="F85" s="23"/>
      <c r="G85" s="23"/>
      <c r="H85" s="23"/>
      <c r="I85" s="23"/>
      <c r="J85" s="23"/>
      <c r="K85" s="23"/>
      <c r="L85" s="23"/>
      <c r="M85" s="23"/>
      <c r="N85" s="4"/>
      <c r="O85" s="23"/>
      <c r="P85" s="23"/>
      <c r="Q85" s="4"/>
      <c r="R85" s="4"/>
      <c r="S85" s="4"/>
    </row>
    <row r="86" spans="1:19" x14ac:dyDescent="0.25">
      <c r="A86" s="876"/>
      <c r="B86" s="4"/>
      <c r="C86" s="23"/>
      <c r="D86" s="23"/>
      <c r="E86" s="23"/>
      <c r="F86" s="23"/>
      <c r="G86" s="23"/>
      <c r="H86" s="23"/>
      <c r="I86" s="23"/>
      <c r="J86" s="23"/>
      <c r="K86" s="23"/>
      <c r="L86" s="23"/>
      <c r="M86" s="23"/>
      <c r="N86" s="4"/>
      <c r="O86" s="23"/>
      <c r="P86" s="23"/>
      <c r="Q86" s="4"/>
      <c r="R86" s="4"/>
      <c r="S86" s="4"/>
    </row>
    <row r="87" spans="1:19" x14ac:dyDescent="0.25">
      <c r="A87" s="876"/>
      <c r="B87" s="4"/>
      <c r="C87" s="23"/>
      <c r="D87" s="23"/>
      <c r="E87" s="23"/>
      <c r="F87" s="23"/>
      <c r="G87" s="23"/>
      <c r="H87" s="23"/>
      <c r="I87" s="23"/>
      <c r="J87" s="23"/>
      <c r="K87" s="23"/>
      <c r="L87" s="23"/>
      <c r="M87" s="23"/>
      <c r="N87" s="4"/>
      <c r="O87" s="23"/>
      <c r="P87" s="23"/>
      <c r="Q87" s="4"/>
      <c r="R87" s="4"/>
      <c r="S87" s="4"/>
    </row>
    <row r="88" spans="1:19" x14ac:dyDescent="0.25">
      <c r="A88" s="876"/>
      <c r="B88" s="4"/>
      <c r="C88" s="23"/>
      <c r="D88" s="23"/>
      <c r="E88" s="23"/>
      <c r="F88" s="23"/>
      <c r="G88" s="23"/>
      <c r="H88" s="23"/>
      <c r="I88" s="23"/>
      <c r="J88" s="23"/>
      <c r="K88" s="23"/>
      <c r="L88" s="23"/>
      <c r="M88" s="23"/>
      <c r="N88" s="4"/>
      <c r="O88" s="23"/>
      <c r="P88" s="23"/>
      <c r="Q88" s="4"/>
      <c r="R88" s="4"/>
      <c r="S88" s="4"/>
    </row>
    <row r="89" spans="1:19" x14ac:dyDescent="0.25">
      <c r="A89" s="876"/>
      <c r="B89" s="4"/>
      <c r="C89" s="23"/>
      <c r="D89" s="23"/>
      <c r="E89" s="23"/>
      <c r="F89" s="23"/>
      <c r="G89" s="23"/>
      <c r="H89" s="23"/>
      <c r="I89" s="23"/>
      <c r="J89" s="23"/>
      <c r="K89" s="23"/>
      <c r="L89" s="23"/>
      <c r="M89" s="23"/>
      <c r="N89" s="4"/>
      <c r="O89" s="23"/>
      <c r="P89" s="23"/>
      <c r="Q89" s="4"/>
      <c r="R89" s="4"/>
      <c r="S89" s="4"/>
    </row>
    <row r="90" spans="1:19" x14ac:dyDescent="0.25">
      <c r="A90" s="876"/>
      <c r="B90" s="4"/>
      <c r="C90" s="23"/>
      <c r="D90" s="23"/>
      <c r="E90" s="23"/>
      <c r="F90" s="23"/>
      <c r="G90" s="23"/>
      <c r="H90" s="23"/>
      <c r="I90" s="23"/>
      <c r="J90" s="23"/>
      <c r="K90" s="23"/>
      <c r="L90" s="23"/>
      <c r="M90" s="23"/>
      <c r="N90" s="4"/>
      <c r="O90" s="23"/>
      <c r="P90" s="23"/>
      <c r="Q90" s="4"/>
      <c r="R90" s="4"/>
      <c r="S90" s="4"/>
    </row>
    <row r="91" spans="1:19" x14ac:dyDescent="0.25">
      <c r="A91" s="876"/>
      <c r="B91" s="4"/>
      <c r="C91" s="23"/>
      <c r="D91" s="23"/>
      <c r="E91" s="23"/>
      <c r="F91" s="23"/>
      <c r="G91" s="23"/>
      <c r="H91" s="23"/>
      <c r="I91" s="23"/>
      <c r="J91" s="23"/>
      <c r="K91" s="23"/>
      <c r="L91" s="23"/>
      <c r="M91" s="23"/>
      <c r="N91" s="4"/>
      <c r="O91" s="23"/>
      <c r="P91" s="23"/>
      <c r="Q91" s="4"/>
      <c r="R91" s="4"/>
      <c r="S91" s="4"/>
    </row>
    <row r="92" spans="1:19" x14ac:dyDescent="0.25">
      <c r="A92" s="876"/>
      <c r="B92" s="4"/>
      <c r="C92" s="23"/>
      <c r="D92" s="23"/>
      <c r="E92" s="23"/>
      <c r="F92" s="23"/>
      <c r="G92" s="23"/>
      <c r="H92" s="23"/>
      <c r="I92" s="23"/>
      <c r="J92" s="23"/>
      <c r="K92" s="23"/>
      <c r="L92" s="23"/>
      <c r="M92" s="23"/>
      <c r="N92" s="4"/>
      <c r="O92" s="23"/>
      <c r="P92" s="23"/>
      <c r="Q92" s="4"/>
      <c r="R92" s="4"/>
      <c r="S92" s="4"/>
    </row>
    <row r="93" spans="1:19" x14ac:dyDescent="0.25">
      <c r="A93" s="876"/>
      <c r="B93" s="4"/>
      <c r="C93" s="23"/>
      <c r="D93" s="23"/>
      <c r="E93" s="23"/>
      <c r="F93" s="23"/>
      <c r="G93" s="23"/>
      <c r="H93" s="23"/>
      <c r="I93" s="23"/>
      <c r="J93" s="23"/>
      <c r="K93" s="23"/>
      <c r="L93" s="23"/>
      <c r="M93" s="23"/>
      <c r="N93" s="4"/>
      <c r="O93" s="23"/>
      <c r="P93" s="23"/>
      <c r="Q93" s="4"/>
      <c r="R93" s="4"/>
      <c r="S93" s="4"/>
    </row>
    <row r="94" spans="1:19" x14ac:dyDescent="0.25">
      <c r="A94" s="876"/>
      <c r="B94" s="4"/>
      <c r="C94" s="23"/>
      <c r="D94" s="23"/>
      <c r="E94" s="23"/>
      <c r="F94" s="23"/>
      <c r="G94" s="23"/>
      <c r="H94" s="23"/>
      <c r="I94" s="23"/>
      <c r="J94" s="23"/>
      <c r="K94" s="23"/>
      <c r="L94" s="23"/>
      <c r="M94" s="23"/>
      <c r="N94" s="4"/>
      <c r="O94" s="23"/>
      <c r="P94" s="23"/>
      <c r="Q94" s="4"/>
      <c r="R94" s="4"/>
      <c r="S94" s="4"/>
    </row>
    <row r="95" spans="1:19" x14ac:dyDescent="0.25">
      <c r="A95" s="876"/>
      <c r="B95" s="4"/>
      <c r="C95" s="23"/>
      <c r="D95" s="23"/>
      <c r="E95" s="23"/>
      <c r="F95" s="23"/>
      <c r="G95" s="23"/>
      <c r="H95" s="23"/>
      <c r="I95" s="23"/>
      <c r="J95" s="23"/>
      <c r="K95" s="23"/>
      <c r="L95" s="23"/>
      <c r="M95" s="23"/>
      <c r="N95" s="4"/>
      <c r="O95" s="23"/>
      <c r="P95" s="23"/>
      <c r="Q95" s="4"/>
      <c r="R95" s="4"/>
      <c r="S95" s="4"/>
    </row>
    <row r="96" spans="1:19" x14ac:dyDescent="0.25">
      <c r="A96" s="876"/>
      <c r="B96" s="4"/>
      <c r="C96" s="23"/>
      <c r="D96" s="23"/>
      <c r="E96" s="23"/>
      <c r="F96" s="23"/>
      <c r="G96" s="23"/>
      <c r="H96" s="23"/>
      <c r="I96" s="23"/>
      <c r="J96" s="23"/>
      <c r="K96" s="23"/>
      <c r="L96" s="23"/>
      <c r="M96" s="23"/>
      <c r="N96" s="4"/>
      <c r="O96" s="23"/>
      <c r="P96" s="23"/>
      <c r="Q96" s="4"/>
      <c r="R96" s="4"/>
      <c r="S96" s="4"/>
    </row>
    <row r="97" spans="1:19" x14ac:dyDescent="0.25">
      <c r="A97" s="876"/>
      <c r="B97" s="4"/>
      <c r="C97" s="23"/>
      <c r="D97" s="23"/>
      <c r="E97" s="23"/>
      <c r="F97" s="23"/>
      <c r="G97" s="23"/>
      <c r="H97" s="23"/>
      <c r="I97" s="23"/>
      <c r="J97" s="23"/>
      <c r="K97" s="23"/>
      <c r="L97" s="23"/>
      <c r="M97" s="23"/>
      <c r="N97" s="4"/>
      <c r="O97" s="23"/>
      <c r="P97" s="23"/>
      <c r="Q97" s="4"/>
      <c r="R97" s="4"/>
      <c r="S97" s="4"/>
    </row>
    <row r="98" spans="1:19" x14ac:dyDescent="0.25">
      <c r="A98" s="876"/>
      <c r="B98" s="4"/>
      <c r="C98" s="23"/>
      <c r="D98" s="23"/>
      <c r="E98" s="23"/>
      <c r="F98" s="23"/>
      <c r="G98" s="23"/>
      <c r="H98" s="23"/>
      <c r="I98" s="23"/>
      <c r="J98" s="23"/>
      <c r="K98" s="23"/>
      <c r="L98" s="23"/>
      <c r="M98" s="23"/>
      <c r="N98" s="4"/>
      <c r="O98" s="23"/>
      <c r="P98" s="23"/>
      <c r="Q98" s="4"/>
      <c r="R98" s="4"/>
      <c r="S98" s="4"/>
    </row>
    <row r="99" spans="1:19" x14ac:dyDescent="0.25">
      <c r="A99" s="876"/>
      <c r="B99" s="4"/>
      <c r="C99" s="23"/>
      <c r="D99" s="23"/>
      <c r="E99" s="23"/>
      <c r="F99" s="23"/>
      <c r="G99" s="23"/>
      <c r="H99" s="23"/>
      <c r="I99" s="23"/>
      <c r="J99" s="23"/>
      <c r="K99" s="23"/>
      <c r="L99" s="23"/>
      <c r="M99" s="23"/>
      <c r="N99" s="4"/>
      <c r="O99" s="23"/>
      <c r="P99" s="23"/>
      <c r="Q99" s="4"/>
      <c r="R99" s="4"/>
      <c r="S99" s="4"/>
    </row>
    <row r="100" spans="1:19" x14ac:dyDescent="0.25">
      <c r="A100" s="876"/>
      <c r="B100" s="4"/>
      <c r="C100" s="23"/>
      <c r="D100" s="23"/>
      <c r="E100" s="23"/>
      <c r="F100" s="23"/>
      <c r="G100" s="23"/>
      <c r="H100" s="23"/>
      <c r="I100" s="23"/>
      <c r="J100" s="23"/>
      <c r="K100" s="23"/>
      <c r="L100" s="23"/>
      <c r="M100" s="23"/>
      <c r="N100" s="4"/>
      <c r="O100" s="23"/>
      <c r="P100" s="23"/>
      <c r="Q100" s="4"/>
      <c r="R100" s="4"/>
      <c r="S100" s="4"/>
    </row>
    <row r="101" spans="1:19" x14ac:dyDescent="0.25">
      <c r="A101" s="876"/>
      <c r="B101" s="4"/>
      <c r="C101" s="23"/>
      <c r="D101" s="23"/>
      <c r="E101" s="23"/>
      <c r="F101" s="23"/>
      <c r="G101" s="23"/>
      <c r="H101" s="23"/>
      <c r="I101" s="23"/>
      <c r="J101" s="23"/>
      <c r="K101" s="23"/>
      <c r="L101" s="23"/>
      <c r="M101" s="23"/>
      <c r="N101" s="4"/>
      <c r="O101" s="23"/>
      <c r="P101" s="23"/>
      <c r="Q101" s="4"/>
      <c r="R101" s="4"/>
      <c r="S101" s="4"/>
    </row>
    <row r="102" spans="1:19" x14ac:dyDescent="0.25">
      <c r="A102" s="876"/>
      <c r="B102" s="4"/>
      <c r="C102" s="23"/>
      <c r="D102" s="23"/>
      <c r="E102" s="23"/>
      <c r="F102" s="23"/>
      <c r="G102" s="23"/>
      <c r="H102" s="23"/>
      <c r="I102" s="23"/>
      <c r="J102" s="23"/>
      <c r="K102" s="23"/>
      <c r="L102" s="23"/>
      <c r="M102" s="23"/>
      <c r="N102" s="4"/>
      <c r="O102" s="23"/>
      <c r="P102" s="23"/>
      <c r="Q102" s="4"/>
      <c r="R102" s="4"/>
      <c r="S102" s="4"/>
    </row>
    <row r="103" spans="1:19" x14ac:dyDescent="0.25">
      <c r="A103" s="876"/>
      <c r="B103" s="4"/>
      <c r="C103" s="23"/>
      <c r="D103" s="23"/>
      <c r="E103" s="23"/>
      <c r="F103" s="23"/>
      <c r="G103" s="23"/>
      <c r="H103" s="23"/>
      <c r="I103" s="23"/>
      <c r="J103" s="23"/>
      <c r="K103" s="23"/>
      <c r="L103" s="23"/>
      <c r="M103" s="23"/>
      <c r="N103" s="4"/>
      <c r="O103" s="23"/>
      <c r="P103" s="23"/>
      <c r="Q103" s="4"/>
      <c r="R103" s="4"/>
      <c r="S103" s="4"/>
    </row>
    <row r="104" spans="1:19" x14ac:dyDescent="0.25">
      <c r="A104" s="876"/>
      <c r="B104" s="4"/>
      <c r="C104" s="23"/>
      <c r="D104" s="23"/>
      <c r="E104" s="23"/>
      <c r="F104" s="23"/>
      <c r="G104" s="23"/>
      <c r="H104" s="23"/>
      <c r="I104" s="23"/>
      <c r="J104" s="23"/>
      <c r="K104" s="23"/>
      <c r="L104" s="23"/>
      <c r="M104" s="23"/>
      <c r="N104" s="4"/>
      <c r="O104" s="23"/>
      <c r="P104" s="23"/>
      <c r="Q104" s="4"/>
      <c r="R104" s="4"/>
      <c r="S104" s="4"/>
    </row>
    <row r="105" spans="1:19" x14ac:dyDescent="0.25">
      <c r="A105" s="876"/>
      <c r="B105" s="4"/>
      <c r="C105" s="23"/>
      <c r="D105" s="23"/>
      <c r="E105" s="23"/>
      <c r="F105" s="23"/>
      <c r="G105" s="23"/>
      <c r="H105" s="23"/>
      <c r="I105" s="23"/>
      <c r="J105" s="23"/>
      <c r="K105" s="23"/>
      <c r="L105" s="23"/>
      <c r="M105" s="23"/>
      <c r="N105" s="4"/>
      <c r="O105" s="23"/>
      <c r="P105" s="23"/>
      <c r="Q105" s="4"/>
      <c r="R105" s="4"/>
      <c r="S105" s="4"/>
    </row>
    <row r="106" spans="1:19" x14ac:dyDescent="0.25">
      <c r="C106" s="114"/>
    </row>
    <row r="107" spans="1:19" x14ac:dyDescent="0.25">
      <c r="C107" s="114"/>
    </row>
    <row r="108" spans="1:19" x14ac:dyDescent="0.25">
      <c r="C108" s="114"/>
    </row>
    <row r="109" spans="1:19" x14ac:dyDescent="0.25">
      <c r="C109" s="114"/>
    </row>
    <row r="110" spans="1:19" x14ac:dyDescent="0.25">
      <c r="C110" s="114"/>
    </row>
    <row r="111" spans="1:19" x14ac:dyDescent="0.25">
      <c r="C111" s="114"/>
    </row>
    <row r="112" spans="1:19" x14ac:dyDescent="0.25">
      <c r="C112" s="114"/>
    </row>
    <row r="113" spans="3:3" x14ac:dyDescent="0.25">
      <c r="C113" s="114"/>
    </row>
    <row r="114" spans="3:3" x14ac:dyDescent="0.25">
      <c r="C114" s="114"/>
    </row>
    <row r="115" spans="3:3" x14ac:dyDescent="0.25">
      <c r="C115" s="114"/>
    </row>
    <row r="116" spans="3:3" x14ac:dyDescent="0.25">
      <c r="C116" s="114"/>
    </row>
    <row r="117" spans="3:3" x14ac:dyDescent="0.25">
      <c r="C117" s="114"/>
    </row>
    <row r="118" spans="3:3" x14ac:dyDescent="0.25">
      <c r="C118" s="114"/>
    </row>
    <row r="119" spans="3:3" x14ac:dyDescent="0.25">
      <c r="C119" s="114"/>
    </row>
    <row r="120" spans="3:3" x14ac:dyDescent="0.25">
      <c r="C120" s="114"/>
    </row>
    <row r="121" spans="3:3" x14ac:dyDescent="0.25">
      <c r="C121" s="114"/>
    </row>
    <row r="122" spans="3:3" x14ac:dyDescent="0.25">
      <c r="C122" s="114"/>
    </row>
    <row r="123" spans="3:3" x14ac:dyDescent="0.25">
      <c r="C123" s="114"/>
    </row>
    <row r="124" spans="3:3" x14ac:dyDescent="0.25">
      <c r="C124" s="114"/>
    </row>
    <row r="125" spans="3:3" x14ac:dyDescent="0.25">
      <c r="C125" s="114"/>
    </row>
    <row r="126" spans="3:3" x14ac:dyDescent="0.25">
      <c r="C126" s="114"/>
    </row>
    <row r="127" spans="3:3" x14ac:dyDescent="0.25">
      <c r="C127" s="114"/>
    </row>
    <row r="128" spans="3:3" x14ac:dyDescent="0.25">
      <c r="C128" s="114"/>
    </row>
    <row r="129" spans="3:3" x14ac:dyDescent="0.25">
      <c r="C129" s="114"/>
    </row>
    <row r="130" spans="3:3" x14ac:dyDescent="0.25">
      <c r="C130" s="114"/>
    </row>
    <row r="131" spans="3:3" x14ac:dyDescent="0.25">
      <c r="C131" s="114"/>
    </row>
    <row r="132" spans="3:3" x14ac:dyDescent="0.25">
      <c r="C132" s="114"/>
    </row>
    <row r="133" spans="3:3" x14ac:dyDescent="0.25">
      <c r="C133" s="114"/>
    </row>
    <row r="134" spans="3:3" x14ac:dyDescent="0.25">
      <c r="C134" s="114"/>
    </row>
    <row r="135" spans="3:3" x14ac:dyDescent="0.25">
      <c r="C135" s="114"/>
    </row>
    <row r="136" spans="3:3" x14ac:dyDescent="0.25">
      <c r="C136" s="114"/>
    </row>
    <row r="137" spans="3:3" x14ac:dyDescent="0.25">
      <c r="C137" s="114"/>
    </row>
    <row r="138" spans="3:3" x14ac:dyDescent="0.25">
      <c r="C138" s="114"/>
    </row>
    <row r="139" spans="3:3" x14ac:dyDescent="0.25">
      <c r="C139" s="114"/>
    </row>
    <row r="140" spans="3:3" x14ac:dyDescent="0.25">
      <c r="C140" s="114"/>
    </row>
    <row r="141" spans="3:3" x14ac:dyDescent="0.25">
      <c r="C141" s="114"/>
    </row>
    <row r="142" spans="3:3" x14ac:dyDescent="0.25">
      <c r="C142" s="114"/>
    </row>
    <row r="143" spans="3:3" x14ac:dyDescent="0.25">
      <c r="C143" s="114"/>
    </row>
    <row r="144" spans="3:3" x14ac:dyDescent="0.25">
      <c r="C144" s="114"/>
    </row>
    <row r="145" spans="3:3" x14ac:dyDescent="0.25">
      <c r="C145" s="114"/>
    </row>
    <row r="146" spans="3:3" x14ac:dyDescent="0.25">
      <c r="C146" s="114"/>
    </row>
    <row r="147" spans="3:3" x14ac:dyDescent="0.25">
      <c r="C147" s="114"/>
    </row>
    <row r="148" spans="3:3" x14ac:dyDescent="0.25">
      <c r="C148" s="114"/>
    </row>
    <row r="149" spans="3:3" x14ac:dyDescent="0.25">
      <c r="C149" s="114"/>
    </row>
    <row r="150" spans="3:3" x14ac:dyDescent="0.25">
      <c r="C150" s="114"/>
    </row>
    <row r="151" spans="3:3" x14ac:dyDescent="0.25">
      <c r="C151" s="114"/>
    </row>
    <row r="152" spans="3:3" x14ac:dyDescent="0.25">
      <c r="C152" s="114"/>
    </row>
    <row r="153" spans="3:3" x14ac:dyDescent="0.25">
      <c r="C153" s="114"/>
    </row>
    <row r="154" spans="3:3" x14ac:dyDescent="0.25">
      <c r="C154" s="114"/>
    </row>
    <row r="155" spans="3:3" x14ac:dyDescent="0.25">
      <c r="C155" s="114"/>
    </row>
    <row r="156" spans="3:3" x14ac:dyDescent="0.25">
      <c r="C156" s="114"/>
    </row>
    <row r="157" spans="3:3" x14ac:dyDescent="0.25">
      <c r="C157" s="114"/>
    </row>
    <row r="158" spans="3:3" x14ac:dyDescent="0.25">
      <c r="C158" s="114"/>
    </row>
    <row r="159" spans="3:3" x14ac:dyDescent="0.25">
      <c r="C159" s="114"/>
    </row>
    <row r="160" spans="3:3" x14ac:dyDescent="0.25">
      <c r="C160" s="114"/>
    </row>
    <row r="161" spans="3:3" x14ac:dyDescent="0.25">
      <c r="C161" s="114"/>
    </row>
    <row r="162" spans="3:3" x14ac:dyDescent="0.25">
      <c r="C162" s="114"/>
    </row>
    <row r="163" spans="3:3" x14ac:dyDescent="0.25">
      <c r="C163" s="114"/>
    </row>
    <row r="164" spans="3:3" x14ac:dyDescent="0.25">
      <c r="C164" s="114"/>
    </row>
  </sheetData>
  <phoneticPr fontId="0" type="noConversion"/>
  <hyperlinks>
    <hyperlink ref="A1" location="'420 DPW'!A1" display="Main 440" xr:uid="{00000000-0004-0000-2300-000000000000}"/>
    <hyperlink ref="B1" location="'Table of Contents'!A1" display="TOC" xr:uid="{00000000-0004-0000-2300-000001000000}"/>
  </hyperlinks>
  <pageMargins left="0.75" right="0.75" top="1" bottom="1" header="0.5" footer="0.5"/>
  <pageSetup scale="92" fitToHeight="2" orientation="landscape" horizontalDpi="300" verticalDpi="300" r:id="rId1"/>
  <headerFooter alignWithMargins="0">
    <oddFooter>&amp;L&amp;D&amp;T&amp;C&amp;F&amp;R&amp;A</oddFooter>
  </headerFooter>
  <rowBreaks count="1" manualBreakCount="1">
    <brk id="27" max="16"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F0"/>
    <pageSetUpPr fitToPage="1"/>
  </sheetPr>
  <dimension ref="A1:T180"/>
  <sheetViews>
    <sheetView workbookViewId="0">
      <pane ySplit="7" topLeftCell="A8" activePane="bottomLeft" state="frozen"/>
      <selection activeCell="P7" sqref="P7"/>
      <selection pane="bottomLeft" activeCell="O12" sqref="O12"/>
    </sheetView>
  </sheetViews>
  <sheetFormatPr defaultRowHeight="13.2" x14ac:dyDescent="0.25"/>
  <cols>
    <col min="1" max="1" width="12" style="885" bestFit="1" customWidth="1"/>
    <col min="2" max="2" width="36.6640625" customWidth="1"/>
    <col min="3" max="3" width="14.44140625" style="1" hidden="1" customWidth="1"/>
    <col min="4" max="9" width="14.44140625" style="114" hidden="1" customWidth="1"/>
    <col min="10" max="10" width="17.44140625" style="114" hidden="1" customWidth="1"/>
    <col min="11" max="13" width="14.44140625" style="114" customWidth="1"/>
    <col min="14" max="14" width="14.44140625" customWidth="1"/>
    <col min="15" max="16" width="14.44140625" style="1" customWidth="1"/>
    <col min="17" max="19" width="14.44140625" customWidth="1"/>
    <col min="20" max="20" width="14.6640625" style="2" customWidth="1"/>
  </cols>
  <sheetData>
    <row r="1" spans="1:19" x14ac:dyDescent="0.25">
      <c r="A1" s="874" t="s">
        <v>1022</v>
      </c>
      <c r="B1" s="371" t="s">
        <v>1348</v>
      </c>
    </row>
    <row r="2" spans="1:19" ht="13.8" x14ac:dyDescent="0.25">
      <c r="A2" s="875" t="s">
        <v>262</v>
      </c>
      <c r="B2" s="45"/>
      <c r="C2" s="141" t="s">
        <v>257</v>
      </c>
      <c r="E2" s="141"/>
      <c r="I2" s="141" t="s">
        <v>87</v>
      </c>
      <c r="J2" s="141"/>
      <c r="K2" s="141"/>
      <c r="L2" s="141"/>
      <c r="M2" s="141"/>
      <c r="N2" s="1"/>
      <c r="P2" s="46" t="s">
        <v>494</v>
      </c>
    </row>
    <row r="3" spans="1:19" ht="13.8" thickBot="1" x14ac:dyDescent="0.3">
      <c r="A3" s="876"/>
      <c r="B3" s="4"/>
      <c r="C3" s="23"/>
      <c r="D3" s="23"/>
      <c r="E3" s="23"/>
      <c r="F3" s="23"/>
      <c r="G3" s="23"/>
      <c r="H3" s="23"/>
      <c r="I3" s="23"/>
      <c r="J3" s="23"/>
      <c r="K3" s="23"/>
      <c r="L3" s="23"/>
      <c r="M3" s="23"/>
      <c r="N3" s="4"/>
      <c r="O3" s="23"/>
      <c r="P3" s="4"/>
      <c r="S3" s="4"/>
    </row>
    <row r="4" spans="1:19" ht="13.8" thickTop="1" x14ac:dyDescent="0.25">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t="s">
        <v>910</v>
      </c>
    </row>
    <row r="5" spans="1:19" x14ac:dyDescent="0.25">
      <c r="A5" s="878"/>
      <c r="B5" s="209"/>
      <c r="C5" s="127"/>
      <c r="D5" s="87"/>
      <c r="E5" s="113"/>
      <c r="F5" s="87"/>
      <c r="G5" s="87"/>
      <c r="H5" s="113"/>
      <c r="I5" s="290"/>
      <c r="J5" s="290"/>
      <c r="K5" s="290"/>
      <c r="L5" s="290"/>
      <c r="M5" s="290"/>
      <c r="N5" s="113" t="s">
        <v>515</v>
      </c>
      <c r="O5" s="88" t="s">
        <v>7</v>
      </c>
      <c r="P5" s="203" t="s">
        <v>782</v>
      </c>
    </row>
    <row r="6" spans="1:19" x14ac:dyDescent="0.25">
      <c r="A6" s="878"/>
      <c r="B6" s="209"/>
      <c r="C6" s="127"/>
      <c r="D6" s="127"/>
      <c r="E6" s="127"/>
      <c r="F6" s="127"/>
      <c r="G6" s="127"/>
      <c r="H6" s="127"/>
      <c r="I6" s="88"/>
      <c r="J6" s="88"/>
      <c r="K6" s="88"/>
      <c r="L6" s="88"/>
      <c r="M6" s="88"/>
      <c r="N6" s="127"/>
      <c r="O6" s="88" t="s">
        <v>8</v>
      </c>
      <c r="P6" s="47" t="s">
        <v>543</v>
      </c>
    </row>
    <row r="7" spans="1:19"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44561</v>
      </c>
      <c r="O7" s="9" t="s">
        <v>9</v>
      </c>
      <c r="P7" s="9" t="s">
        <v>546</v>
      </c>
    </row>
    <row r="8" spans="1:19" ht="13.8" thickTop="1" x14ac:dyDescent="0.25">
      <c r="A8" s="880"/>
      <c r="B8" s="177"/>
      <c r="C8" s="129"/>
      <c r="D8" s="315"/>
      <c r="E8" s="315"/>
      <c r="F8" s="315"/>
      <c r="G8" s="315"/>
      <c r="H8" s="315"/>
      <c r="I8" s="315"/>
      <c r="J8" s="315"/>
      <c r="K8" s="164"/>
      <c r="L8" s="164"/>
      <c r="M8" s="164"/>
      <c r="N8" s="62"/>
      <c r="O8" s="10"/>
      <c r="P8" s="10"/>
    </row>
    <row r="9" spans="1:19" x14ac:dyDescent="0.25">
      <c r="A9" s="881">
        <v>5112</v>
      </c>
      <c r="B9" s="63" t="s">
        <v>159</v>
      </c>
      <c r="C9" s="405">
        <v>544527.98</v>
      </c>
      <c r="D9" s="13">
        <f>165.7+562801.37+6191.59</f>
        <v>569158.65999999992</v>
      </c>
      <c r="E9" s="144">
        <v>540718.27</v>
      </c>
      <c r="F9" s="144">
        <v>563154.73</v>
      </c>
      <c r="G9" s="144">
        <v>552355.14</v>
      </c>
      <c r="H9" s="144">
        <v>574134.86</v>
      </c>
      <c r="I9" s="13">
        <v>575220.31999999995</v>
      </c>
      <c r="J9" s="13">
        <v>614836.76</v>
      </c>
      <c r="K9" s="14">
        <v>653676</v>
      </c>
      <c r="L9" s="13">
        <v>624063.51</v>
      </c>
      <c r="M9" s="14">
        <v>671995</v>
      </c>
      <c r="N9" s="13">
        <v>317877.71999999997</v>
      </c>
      <c r="O9" s="14">
        <f>ROUND((SUM('420 DPW'!N69:N91)-'192 Public Bldgs'!O9-'652 Parks'!O9-'433 Solid Waste'!O10),0)</f>
        <v>685516</v>
      </c>
      <c r="P9" s="14"/>
    </row>
    <row r="10" spans="1:19" x14ac:dyDescent="0.25">
      <c r="A10" s="881">
        <v>5132</v>
      </c>
      <c r="B10" s="63" t="s">
        <v>191</v>
      </c>
      <c r="C10" s="405">
        <f>232.1+5303.32</f>
        <v>5535.42</v>
      </c>
      <c r="D10" s="13">
        <f>136.61+5676.65</f>
        <v>5813.2599999999993</v>
      </c>
      <c r="E10" s="144">
        <v>4186.1000000000004</v>
      </c>
      <c r="F10" s="144">
        <v>3549.91</v>
      </c>
      <c r="G10" s="144">
        <v>5071.6400000000003</v>
      </c>
      <c r="H10" s="144">
        <v>3526.98</v>
      </c>
      <c r="I10" s="13">
        <v>8376.17</v>
      </c>
      <c r="J10" s="13">
        <v>8075.79</v>
      </c>
      <c r="K10" s="14">
        <v>9000</v>
      </c>
      <c r="L10" s="13">
        <v>15259.18</v>
      </c>
      <c r="M10" s="14">
        <v>12000</v>
      </c>
      <c r="N10" s="13">
        <v>12462.36</v>
      </c>
      <c r="O10" s="14">
        <v>12250</v>
      </c>
      <c r="P10" s="14"/>
    </row>
    <row r="11" spans="1:19" x14ac:dyDescent="0.25">
      <c r="A11" s="881">
        <v>5142</v>
      </c>
      <c r="B11" s="63" t="s">
        <v>57</v>
      </c>
      <c r="C11" s="702">
        <v>5672.24</v>
      </c>
      <c r="D11" s="37">
        <f>19.09+5997.6</f>
        <v>6016.6900000000005</v>
      </c>
      <c r="E11" s="233">
        <v>6103.83</v>
      </c>
      <c r="F11" s="233">
        <v>6067.31</v>
      </c>
      <c r="G11" s="233">
        <v>7744.66</v>
      </c>
      <c r="H11" s="233">
        <v>10630.82</v>
      </c>
      <c r="I11" s="37">
        <v>11076.36</v>
      </c>
      <c r="J11" s="37">
        <v>13959.15</v>
      </c>
      <c r="K11" s="38">
        <v>15000</v>
      </c>
      <c r="L11" s="37">
        <v>13998.01</v>
      </c>
      <c r="M11" s="38">
        <v>18000</v>
      </c>
      <c r="N11" s="37">
        <v>8765.4</v>
      </c>
      <c r="O11" s="38">
        <v>17000</v>
      </c>
      <c r="P11" s="38"/>
    </row>
    <row r="12" spans="1:19" x14ac:dyDescent="0.25">
      <c r="A12" s="881">
        <v>5144</v>
      </c>
      <c r="B12" s="63" t="s">
        <v>157</v>
      </c>
      <c r="C12" s="405">
        <v>2600</v>
      </c>
      <c r="D12" s="13">
        <v>3750</v>
      </c>
      <c r="E12" s="144">
        <v>3000</v>
      </c>
      <c r="F12" s="144">
        <v>2200</v>
      </c>
      <c r="G12" s="144">
        <v>4140</v>
      </c>
      <c r="H12" s="144">
        <v>3620</v>
      </c>
      <c r="I12" s="13">
        <v>3640</v>
      </c>
      <c r="J12" s="13">
        <v>3400</v>
      </c>
      <c r="K12" s="14">
        <v>3000</v>
      </c>
      <c r="L12" s="13">
        <v>2000</v>
      </c>
      <c r="M12" s="14">
        <v>3600</v>
      </c>
      <c r="N12" s="13">
        <v>1000</v>
      </c>
      <c r="O12" s="14">
        <v>1000</v>
      </c>
      <c r="P12" s="14"/>
    </row>
    <row r="13" spans="1:19" x14ac:dyDescent="0.25">
      <c r="A13" s="881">
        <v>5145</v>
      </c>
      <c r="B13" s="63" t="s">
        <v>602</v>
      </c>
      <c r="C13" s="405">
        <v>600.08000000000004</v>
      </c>
      <c r="D13" s="13">
        <v>842.42</v>
      </c>
      <c r="E13" s="144">
        <v>1200.1600000000001</v>
      </c>
      <c r="F13" s="144">
        <v>1223.24</v>
      </c>
      <c r="G13" s="144">
        <v>1119.3800000000001</v>
      </c>
      <c r="H13" s="144">
        <v>946.28</v>
      </c>
      <c r="I13" s="13">
        <v>1488.66</v>
      </c>
      <c r="J13" s="13">
        <v>1500.2</v>
      </c>
      <c r="K13" s="14">
        <v>1525</v>
      </c>
      <c r="L13" s="13">
        <v>1529.05</v>
      </c>
      <c r="M13" s="14">
        <v>1525</v>
      </c>
      <c r="N13" s="13">
        <v>646.24</v>
      </c>
      <c r="O13" s="14">
        <v>1525</v>
      </c>
      <c r="P13" s="14"/>
    </row>
    <row r="14" spans="1:19" x14ac:dyDescent="0.25">
      <c r="A14" s="881">
        <v>5193</v>
      </c>
      <c r="B14" s="63" t="s">
        <v>699</v>
      </c>
      <c r="C14" s="405"/>
      <c r="D14" s="13"/>
      <c r="E14" s="144">
        <v>9799.56</v>
      </c>
      <c r="F14" s="144"/>
      <c r="G14" s="144">
        <v>2150.5</v>
      </c>
      <c r="H14" s="144">
        <v>4111.34</v>
      </c>
      <c r="I14" s="13">
        <v>8358</v>
      </c>
      <c r="J14" s="13">
        <v>5172.6400000000003</v>
      </c>
      <c r="K14" s="14"/>
      <c r="L14" s="13">
        <v>1303.8</v>
      </c>
      <c r="M14" s="14">
        <v>11292</v>
      </c>
      <c r="N14" s="13">
        <v>15775.6</v>
      </c>
      <c r="O14" s="14">
        <v>0</v>
      </c>
      <c r="P14" s="14"/>
    </row>
    <row r="15" spans="1:19" ht="13.8" thickBot="1" x14ac:dyDescent="0.3">
      <c r="A15" s="881">
        <v>5194</v>
      </c>
      <c r="B15" s="63" t="s">
        <v>226</v>
      </c>
      <c r="C15" s="716"/>
      <c r="D15" s="39"/>
      <c r="E15" s="319">
        <v>5134.3</v>
      </c>
      <c r="F15" s="319"/>
      <c r="G15" s="319">
        <v>1553.75</v>
      </c>
      <c r="H15" s="319">
        <v>7000</v>
      </c>
      <c r="I15" s="39">
        <v>3500</v>
      </c>
      <c r="J15" s="39">
        <v>709.2</v>
      </c>
      <c r="K15" s="40"/>
      <c r="L15" s="39"/>
      <c r="M15" s="40">
        <v>4200</v>
      </c>
      <c r="N15" s="39">
        <v>4791.7299999999996</v>
      </c>
      <c r="O15" s="40">
        <v>0</v>
      </c>
      <c r="P15" s="40"/>
    </row>
    <row r="16" spans="1:19" x14ac:dyDescent="0.25">
      <c r="A16" s="881"/>
      <c r="B16" s="64" t="s">
        <v>130</v>
      </c>
      <c r="C16" s="406">
        <f t="shared" ref="C16:P16" si="0">SUM(C9:C15)</f>
        <v>558935.72</v>
      </c>
      <c r="D16" s="18">
        <f t="shared" si="0"/>
        <v>585581.02999999991</v>
      </c>
      <c r="E16" s="18">
        <f t="shared" si="0"/>
        <v>570142.22000000009</v>
      </c>
      <c r="F16" s="18">
        <f t="shared" ref="F16:L16" si="1">SUM(F9:F15)</f>
        <v>576195.19000000006</v>
      </c>
      <c r="G16" s="18">
        <f t="shared" si="1"/>
        <v>574135.07000000007</v>
      </c>
      <c r="H16" s="18">
        <f t="shared" si="1"/>
        <v>603970.27999999991</v>
      </c>
      <c r="I16" s="18">
        <f t="shared" si="1"/>
        <v>611659.51</v>
      </c>
      <c r="J16" s="18">
        <f t="shared" si="1"/>
        <v>647653.74</v>
      </c>
      <c r="K16" s="36">
        <f t="shared" si="1"/>
        <v>682201</v>
      </c>
      <c r="L16" s="18">
        <f t="shared" si="1"/>
        <v>658153.55000000016</v>
      </c>
      <c r="M16" s="36">
        <f>SUM(M9:M15)</f>
        <v>722612</v>
      </c>
      <c r="N16" s="18">
        <f t="shared" si="0"/>
        <v>361319.04999999993</v>
      </c>
      <c r="O16" s="36">
        <f>SUM(O9:O15)</f>
        <v>717291</v>
      </c>
      <c r="P16" s="36">
        <f t="shared" si="0"/>
        <v>0</v>
      </c>
    </row>
    <row r="17" spans="1:16" x14ac:dyDescent="0.25">
      <c r="A17" s="881"/>
      <c r="B17" s="63"/>
      <c r="C17" s="405"/>
      <c r="D17" s="13"/>
      <c r="E17" s="13"/>
      <c r="F17" s="13"/>
      <c r="G17" s="13"/>
      <c r="H17" s="13"/>
      <c r="I17" s="13"/>
      <c r="J17" s="13"/>
      <c r="K17" s="14"/>
      <c r="L17" s="13"/>
      <c r="M17" s="14"/>
      <c r="N17" s="13"/>
      <c r="O17" s="14"/>
      <c r="P17" s="14"/>
    </row>
    <row r="18" spans="1:16" x14ac:dyDescent="0.25">
      <c r="A18" s="881">
        <v>5242</v>
      </c>
      <c r="B18" s="63" t="s">
        <v>197</v>
      </c>
      <c r="C18" s="405"/>
      <c r="D18" s="18">
        <v>1665</v>
      </c>
      <c r="E18" s="126">
        <v>687.54</v>
      </c>
      <c r="F18" s="126">
        <v>402.95</v>
      </c>
      <c r="G18" s="126">
        <v>4779.55</v>
      </c>
      <c r="H18" s="126">
        <v>537.5</v>
      </c>
      <c r="I18" s="126">
        <v>1744.45</v>
      </c>
      <c r="J18" s="126">
        <v>127.2</v>
      </c>
      <c r="K18" s="124">
        <v>3500</v>
      </c>
      <c r="L18" s="126">
        <v>7138.77</v>
      </c>
      <c r="M18" s="124">
        <v>3500</v>
      </c>
      <c r="N18" s="18">
        <v>5265.9</v>
      </c>
      <c r="O18" s="124">
        <v>7100</v>
      </c>
      <c r="P18" s="124"/>
    </row>
    <row r="19" spans="1:16" x14ac:dyDescent="0.25">
      <c r="A19" s="881">
        <v>5245</v>
      </c>
      <c r="B19" s="12" t="s">
        <v>183</v>
      </c>
      <c r="C19" s="144">
        <v>15640.85</v>
      </c>
      <c r="D19" s="18">
        <v>20923.13</v>
      </c>
      <c r="E19" s="126">
        <v>22296.94</v>
      </c>
      <c r="F19" s="126">
        <v>34754.76</v>
      </c>
      <c r="G19" s="126">
        <v>23394.59</v>
      </c>
      <c r="H19" s="126">
        <v>24713.51</v>
      </c>
      <c r="I19" s="126">
        <v>17661.330000000002</v>
      </c>
      <c r="J19" s="126">
        <v>27018.75</v>
      </c>
      <c r="K19" s="124">
        <v>30000</v>
      </c>
      <c r="L19" s="126">
        <v>28032.21</v>
      </c>
      <c r="M19" s="124">
        <v>35000</v>
      </c>
      <c r="N19" s="18">
        <v>9548.73</v>
      </c>
      <c r="O19" s="124">
        <v>35000</v>
      </c>
      <c r="P19" s="124"/>
    </row>
    <row r="20" spans="1:16" x14ac:dyDescent="0.25">
      <c r="A20" s="881">
        <v>5248</v>
      </c>
      <c r="B20" s="12" t="s">
        <v>1177</v>
      </c>
      <c r="C20" s="144"/>
      <c r="D20" s="18">
        <v>0</v>
      </c>
      <c r="E20" s="126">
        <v>503.29</v>
      </c>
      <c r="F20" s="126">
        <v>88</v>
      </c>
      <c r="G20" s="126"/>
      <c r="H20" s="126">
        <v>264</v>
      </c>
      <c r="I20" s="126">
        <v>0</v>
      </c>
      <c r="J20" s="126">
        <v>88</v>
      </c>
      <c r="K20" s="124">
        <v>4200</v>
      </c>
      <c r="L20" s="126"/>
      <c r="M20" s="124">
        <v>4200</v>
      </c>
      <c r="N20" s="18"/>
      <c r="O20" s="124">
        <v>2000</v>
      </c>
      <c r="P20" s="124"/>
    </row>
    <row r="21" spans="1:16" x14ac:dyDescent="0.25">
      <c r="A21" s="881">
        <v>5251</v>
      </c>
      <c r="B21" s="12" t="s">
        <v>167</v>
      </c>
      <c r="C21" s="312">
        <v>2288.5700000000002</v>
      </c>
      <c r="D21" s="18">
        <v>3552.43</v>
      </c>
      <c r="E21" s="126">
        <v>5595.84</v>
      </c>
      <c r="F21" s="126">
        <v>5335.59</v>
      </c>
      <c r="G21" s="126">
        <v>3066.56</v>
      </c>
      <c r="H21" s="126">
        <v>5616.81</v>
      </c>
      <c r="I21" s="126">
        <f>428.65+6818.24</f>
        <v>7246.8899999999994</v>
      </c>
      <c r="J21" s="126">
        <v>5396.62</v>
      </c>
      <c r="K21" s="124">
        <v>4500</v>
      </c>
      <c r="L21" s="126">
        <v>7949.81</v>
      </c>
      <c r="M21" s="124">
        <v>7000</v>
      </c>
      <c r="N21" s="18">
        <v>597</v>
      </c>
      <c r="O21" s="124">
        <v>9200</v>
      </c>
      <c r="P21" s="124"/>
    </row>
    <row r="22" spans="1:16" hidden="1" x14ac:dyDescent="0.25">
      <c r="A22" s="881">
        <v>5277</v>
      </c>
      <c r="B22" s="12" t="s">
        <v>206</v>
      </c>
      <c r="C22" s="144"/>
      <c r="D22" s="18">
        <v>0</v>
      </c>
      <c r="E22" s="126"/>
      <c r="F22" s="126"/>
      <c r="G22" s="126"/>
      <c r="H22" s="126"/>
      <c r="I22" s="126"/>
      <c r="J22" s="126"/>
      <c r="K22" s="124"/>
      <c r="L22" s="126"/>
      <c r="M22" s="124"/>
      <c r="N22" s="18"/>
      <c r="O22" s="124"/>
      <c r="P22" s="124"/>
    </row>
    <row r="23" spans="1:16" hidden="1" x14ac:dyDescent="0.25">
      <c r="A23" s="881">
        <v>5278</v>
      </c>
      <c r="B23" s="12" t="s">
        <v>447</v>
      </c>
      <c r="C23" s="144">
        <v>6254.36</v>
      </c>
      <c r="D23" s="18">
        <v>7210.2</v>
      </c>
      <c r="E23" s="126">
        <v>7337.82</v>
      </c>
      <c r="F23" s="126">
        <v>9576.67</v>
      </c>
      <c r="G23" s="126">
        <v>11297.29</v>
      </c>
      <c r="H23" s="126">
        <v>10913.81</v>
      </c>
      <c r="I23" s="126">
        <v>12262.49</v>
      </c>
      <c r="J23" s="126">
        <v>9959.7000000000007</v>
      </c>
      <c r="K23" s="124">
        <v>0</v>
      </c>
      <c r="L23" s="126"/>
      <c r="M23" s="124">
        <v>0</v>
      </c>
      <c r="N23" s="18"/>
      <c r="O23" s="124">
        <v>0</v>
      </c>
      <c r="P23" s="124"/>
    </row>
    <row r="24" spans="1:16" x14ac:dyDescent="0.25">
      <c r="A24" s="881">
        <v>5310</v>
      </c>
      <c r="B24" s="12" t="s">
        <v>204</v>
      </c>
      <c r="C24" s="144">
        <v>1659.5</v>
      </c>
      <c r="D24" s="18">
        <v>1863</v>
      </c>
      <c r="E24" s="126">
        <v>1535</v>
      </c>
      <c r="F24" s="126">
        <v>1775.1</v>
      </c>
      <c r="G24" s="126">
        <v>2491</v>
      </c>
      <c r="H24" s="126">
        <v>10389.34</v>
      </c>
      <c r="I24" s="126">
        <v>5775</v>
      </c>
      <c r="J24" s="126">
        <v>4765</v>
      </c>
      <c r="K24" s="124">
        <v>5000</v>
      </c>
      <c r="L24" s="126">
        <v>3778</v>
      </c>
      <c r="M24" s="124">
        <v>5000</v>
      </c>
      <c r="N24" s="18">
        <v>1411</v>
      </c>
      <c r="O24" s="124">
        <v>5000</v>
      </c>
      <c r="P24" s="124"/>
    </row>
    <row r="25" spans="1:16" x14ac:dyDescent="0.25">
      <c r="A25" s="881">
        <v>5314</v>
      </c>
      <c r="B25" s="12" t="s">
        <v>139</v>
      </c>
      <c r="C25" s="144">
        <v>35</v>
      </c>
      <c r="D25" s="18">
        <v>65</v>
      </c>
      <c r="E25" s="126">
        <v>80</v>
      </c>
      <c r="F25" s="126">
        <v>100</v>
      </c>
      <c r="G25" s="126">
        <v>2040</v>
      </c>
      <c r="H25" s="126">
        <v>40</v>
      </c>
      <c r="I25" s="126">
        <v>210</v>
      </c>
      <c r="J25" s="126">
        <v>100</v>
      </c>
      <c r="K25" s="124">
        <v>200</v>
      </c>
      <c r="L25" s="126"/>
      <c r="M25" s="124">
        <v>200</v>
      </c>
      <c r="N25" s="18">
        <v>1250</v>
      </c>
      <c r="O25" s="124">
        <v>200</v>
      </c>
      <c r="P25" s="124"/>
    </row>
    <row r="26" spans="1:16" x14ac:dyDescent="0.25">
      <c r="A26" s="881">
        <v>5315</v>
      </c>
      <c r="B26" s="12" t="s">
        <v>132</v>
      </c>
      <c r="C26" s="144">
        <v>24208.71</v>
      </c>
      <c r="D26" s="18">
        <v>21600.63</v>
      </c>
      <c r="E26" s="126">
        <v>27572.84</v>
      </c>
      <c r="F26" s="126">
        <v>29246.78</v>
      </c>
      <c r="G26" s="126">
        <f>40225.88-G27</f>
        <v>20041.039999999997</v>
      </c>
      <c r="H26" s="126">
        <f>32602.13-H27</f>
        <v>14179.400000000001</v>
      </c>
      <c r="I26" s="126">
        <v>22930.35</v>
      </c>
      <c r="J26" s="126">
        <v>10841.6</v>
      </c>
      <c r="K26" s="124">
        <v>18000</v>
      </c>
      <c r="L26" s="126">
        <v>29457.1</v>
      </c>
      <c r="M26" s="124">
        <v>18000</v>
      </c>
      <c r="N26" s="18">
        <v>8964.14</v>
      </c>
      <c r="O26" s="124">
        <v>18500</v>
      </c>
      <c r="P26" s="124"/>
    </row>
    <row r="27" spans="1:16" x14ac:dyDescent="0.25">
      <c r="A27" s="881">
        <v>5320</v>
      </c>
      <c r="B27" s="12" t="s">
        <v>1258</v>
      </c>
      <c r="C27" s="144"/>
      <c r="D27" s="18"/>
      <c r="E27" s="126"/>
      <c r="F27" s="126"/>
      <c r="G27" s="126">
        <v>20184.84</v>
      </c>
      <c r="H27" s="126">
        <v>18422.73</v>
      </c>
      <c r="I27" s="126">
        <v>19083.580000000002</v>
      </c>
      <c r="J27" s="126">
        <v>27622.11</v>
      </c>
      <c r="K27" s="124">
        <v>22000</v>
      </c>
      <c r="L27" s="126">
        <v>25903.26</v>
      </c>
      <c r="M27" s="124">
        <v>28000</v>
      </c>
      <c r="N27" s="18">
        <v>23797.75</v>
      </c>
      <c r="O27" s="124">
        <v>28000</v>
      </c>
      <c r="P27" s="124"/>
    </row>
    <row r="28" spans="1:16" x14ac:dyDescent="0.25">
      <c r="A28" s="881">
        <v>5341</v>
      </c>
      <c r="B28" s="12" t="s">
        <v>1175</v>
      </c>
      <c r="C28" s="144">
        <v>3078.49</v>
      </c>
      <c r="D28" s="18">
        <v>3210.87</v>
      </c>
      <c r="E28" s="126">
        <v>3419.12</v>
      </c>
      <c r="F28" s="126">
        <v>3544.05</v>
      </c>
      <c r="G28" s="126">
        <v>3468.11</v>
      </c>
      <c r="H28" s="126">
        <v>1848.31</v>
      </c>
      <c r="I28" s="126">
        <v>1750.2</v>
      </c>
      <c r="J28" s="126">
        <v>1771.2</v>
      </c>
      <c r="K28" s="124">
        <v>3500</v>
      </c>
      <c r="L28" s="126">
        <v>2094.5300000000002</v>
      </c>
      <c r="M28" s="124">
        <v>3500</v>
      </c>
      <c r="N28" s="18">
        <v>827.4</v>
      </c>
      <c r="O28" s="124">
        <v>3000</v>
      </c>
      <c r="P28" s="124"/>
    </row>
    <row r="29" spans="1:16" x14ac:dyDescent="0.25">
      <c r="A29" s="881">
        <v>5344</v>
      </c>
      <c r="B29" s="12" t="s">
        <v>142</v>
      </c>
      <c r="C29" s="233">
        <v>60.4</v>
      </c>
      <c r="D29" s="18">
        <v>78.47</v>
      </c>
      <c r="E29" s="126">
        <v>55</v>
      </c>
      <c r="F29" s="126">
        <v>28.15</v>
      </c>
      <c r="G29" s="126">
        <v>20.82</v>
      </c>
      <c r="H29" s="126">
        <v>58.25</v>
      </c>
      <c r="I29" s="126">
        <v>31.22</v>
      </c>
      <c r="J29" s="126">
        <v>22</v>
      </c>
      <c r="K29" s="124">
        <v>100</v>
      </c>
      <c r="L29" s="126">
        <v>17.47</v>
      </c>
      <c r="M29" s="124">
        <v>100</v>
      </c>
      <c r="N29" s="18">
        <v>22</v>
      </c>
      <c r="O29" s="124">
        <v>100</v>
      </c>
      <c r="P29" s="124"/>
    </row>
    <row r="30" spans="1:16" x14ac:dyDescent="0.25">
      <c r="A30" s="881">
        <v>5345</v>
      </c>
      <c r="B30" s="12" t="s">
        <v>143</v>
      </c>
      <c r="C30" s="144">
        <v>50.81</v>
      </c>
      <c r="D30" s="18">
        <v>237.71</v>
      </c>
      <c r="E30" s="126">
        <v>835.56</v>
      </c>
      <c r="F30" s="126">
        <v>1284.3399999999999</v>
      </c>
      <c r="G30" s="126">
        <v>1533.36</v>
      </c>
      <c r="H30" s="126">
        <v>1075.22</v>
      </c>
      <c r="I30" s="126">
        <v>3390.59</v>
      </c>
      <c r="J30" s="126">
        <v>1518.32</v>
      </c>
      <c r="K30" s="124">
        <v>2500</v>
      </c>
      <c r="L30" s="126">
        <v>1531.24</v>
      </c>
      <c r="M30" s="124">
        <v>2500</v>
      </c>
      <c r="N30" s="18">
        <v>591.6</v>
      </c>
      <c r="O30" s="124">
        <v>2500</v>
      </c>
      <c r="P30" s="124"/>
    </row>
    <row r="31" spans="1:16" x14ac:dyDescent="0.25">
      <c r="A31" s="881">
        <v>5420</v>
      </c>
      <c r="B31" s="12" t="s">
        <v>144</v>
      </c>
      <c r="C31" s="126">
        <v>965.81</v>
      </c>
      <c r="D31" s="18">
        <v>694.26</v>
      </c>
      <c r="E31" s="126">
        <v>1611.93</v>
      </c>
      <c r="F31" s="126">
        <v>1141.1500000000001</v>
      </c>
      <c r="G31" s="126">
        <v>953.7</v>
      </c>
      <c r="H31" s="126">
        <v>1938.24</v>
      </c>
      <c r="I31" s="126">
        <v>1793.4</v>
      </c>
      <c r="J31" s="126">
        <v>861.64</v>
      </c>
      <c r="K31" s="124">
        <v>1750</v>
      </c>
      <c r="L31" s="126">
        <v>2708.1</v>
      </c>
      <c r="M31" s="124">
        <v>4000</v>
      </c>
      <c r="N31" s="18">
        <v>1214.23</v>
      </c>
      <c r="O31" s="124">
        <v>3500</v>
      </c>
      <c r="P31" s="124"/>
    </row>
    <row r="32" spans="1:16" x14ac:dyDescent="0.25">
      <c r="A32" s="881">
        <v>5430</v>
      </c>
      <c r="B32" s="12" t="s">
        <v>377</v>
      </c>
      <c r="C32" s="144">
        <v>680.13</v>
      </c>
      <c r="D32" s="18">
        <v>738.74</v>
      </c>
      <c r="E32" s="126">
        <v>671.33</v>
      </c>
      <c r="F32" s="126">
        <v>398.72</v>
      </c>
      <c r="G32" s="126">
        <v>4603.57</v>
      </c>
      <c r="H32" s="126">
        <v>440.97</v>
      </c>
      <c r="I32" s="126">
        <v>519.57000000000005</v>
      </c>
      <c r="J32" s="126">
        <v>549.82000000000005</v>
      </c>
      <c r="K32" s="124">
        <v>2500</v>
      </c>
      <c r="L32" s="126">
        <v>285.89</v>
      </c>
      <c r="M32" s="124">
        <v>2500</v>
      </c>
      <c r="N32" s="18">
        <v>1440</v>
      </c>
      <c r="O32" s="124">
        <v>2500</v>
      </c>
      <c r="P32" s="124"/>
    </row>
    <row r="33" spans="1:20" hidden="1" x14ac:dyDescent="0.25">
      <c r="A33" s="881">
        <v>5432</v>
      </c>
      <c r="B33" s="12" t="s">
        <v>460</v>
      </c>
      <c r="C33" s="144">
        <v>37.119999999999997</v>
      </c>
      <c r="D33" s="18">
        <v>13.95</v>
      </c>
      <c r="E33" s="126"/>
      <c r="F33" s="126">
        <v>55.85</v>
      </c>
      <c r="G33" s="126"/>
      <c r="H33" s="126"/>
      <c r="I33" s="126"/>
      <c r="J33" s="126"/>
      <c r="K33" s="124"/>
      <c r="L33" s="126"/>
      <c r="M33" s="124"/>
      <c r="N33" s="13"/>
      <c r="O33" s="124"/>
      <c r="P33" s="124"/>
    </row>
    <row r="34" spans="1:20" x14ac:dyDescent="0.25">
      <c r="A34" s="881">
        <v>5435</v>
      </c>
      <c r="B34" s="12" t="s">
        <v>376</v>
      </c>
      <c r="C34" s="126">
        <v>2223.06</v>
      </c>
      <c r="D34" s="18">
        <v>1519.3</v>
      </c>
      <c r="E34" s="126">
        <v>2230.3200000000002</v>
      </c>
      <c r="F34" s="126">
        <v>3011.96</v>
      </c>
      <c r="G34" s="126">
        <v>2113.88</v>
      </c>
      <c r="H34" s="126">
        <v>6885.49</v>
      </c>
      <c r="I34" s="126">
        <v>3971.26</v>
      </c>
      <c r="J34" s="126">
        <v>9171.73</v>
      </c>
      <c r="K34" s="124">
        <v>5000</v>
      </c>
      <c r="L34" s="126">
        <v>2848.01</v>
      </c>
      <c r="M34" s="124">
        <v>5000</v>
      </c>
      <c r="N34" s="18">
        <v>2460.56</v>
      </c>
      <c r="O34" s="124">
        <v>5000</v>
      </c>
      <c r="P34" s="124"/>
    </row>
    <row r="35" spans="1:20" x14ac:dyDescent="0.25">
      <c r="A35" s="881">
        <v>5440</v>
      </c>
      <c r="B35" s="12" t="s">
        <v>207</v>
      </c>
      <c r="C35" s="144">
        <v>4022.66</v>
      </c>
      <c r="D35" s="18">
        <v>4443.3500000000004</v>
      </c>
      <c r="E35" s="126">
        <v>6122.27</v>
      </c>
      <c r="F35" s="126">
        <v>4464.0600000000004</v>
      </c>
      <c r="G35" s="126">
        <v>2584.31</v>
      </c>
      <c r="H35" s="126">
        <v>8262.68</v>
      </c>
      <c r="I35" s="126">
        <v>5721.25</v>
      </c>
      <c r="J35" s="126">
        <v>9061.2199999999993</v>
      </c>
      <c r="K35" s="124">
        <v>7000</v>
      </c>
      <c r="L35" s="126">
        <v>6192.19</v>
      </c>
      <c r="M35" s="124">
        <v>8000</v>
      </c>
      <c r="N35" s="18">
        <v>1794.65</v>
      </c>
      <c r="O35" s="124">
        <v>8000</v>
      </c>
      <c r="P35" s="124"/>
    </row>
    <row r="36" spans="1:20" x14ac:dyDescent="0.25">
      <c r="A36" s="881">
        <v>5443</v>
      </c>
      <c r="B36" s="12" t="s">
        <v>201</v>
      </c>
      <c r="C36" s="144">
        <v>16245.85</v>
      </c>
      <c r="D36" s="18">
        <v>20320.52</v>
      </c>
      <c r="E36" s="126">
        <v>16077.74</v>
      </c>
      <c r="F36" s="126">
        <v>42904.99</v>
      </c>
      <c r="G36" s="126">
        <v>20066.259999999998</v>
      </c>
      <c r="H36" s="126">
        <v>25480.45</v>
      </c>
      <c r="I36" s="126">
        <v>26714.95</v>
      </c>
      <c r="J36" s="126">
        <v>43697.94</v>
      </c>
      <c r="K36" s="124">
        <v>35000</v>
      </c>
      <c r="L36" s="126">
        <v>47691.71</v>
      </c>
      <c r="M36" s="124">
        <v>39000</v>
      </c>
      <c r="N36" s="18">
        <v>11462.88</v>
      </c>
      <c r="O36" s="124">
        <v>57000</v>
      </c>
      <c r="P36" s="124"/>
      <c r="T36" s="54"/>
    </row>
    <row r="37" spans="1:20" x14ac:dyDescent="0.25">
      <c r="A37" s="881">
        <v>5481</v>
      </c>
      <c r="B37" s="12" t="s">
        <v>170</v>
      </c>
      <c r="C37" s="144">
        <v>23072.400000000001</v>
      </c>
      <c r="D37" s="13">
        <v>32924.959999999999</v>
      </c>
      <c r="E37" s="144">
        <v>27697.48</v>
      </c>
      <c r="F37" s="144">
        <v>18370.16</v>
      </c>
      <c r="G37" s="144">
        <v>11746.54</v>
      </c>
      <c r="H37" s="144">
        <v>27057.85</v>
      </c>
      <c r="I37" s="144">
        <v>32961.730000000003</v>
      </c>
      <c r="J37" s="144">
        <v>24671.91</v>
      </c>
      <c r="K37" s="122">
        <v>45000</v>
      </c>
      <c r="L37" s="126">
        <v>18138.169999999998</v>
      </c>
      <c r="M37" s="122">
        <v>45000</v>
      </c>
      <c r="N37" s="18">
        <v>12194.68</v>
      </c>
      <c r="O37" s="122">
        <v>45000</v>
      </c>
      <c r="P37" s="122"/>
      <c r="S37" s="202"/>
      <c r="T37" s="54"/>
    </row>
    <row r="38" spans="1:20" x14ac:dyDescent="0.25">
      <c r="A38" s="881">
        <v>5482</v>
      </c>
      <c r="B38" s="12" t="s">
        <v>208</v>
      </c>
      <c r="C38" s="144">
        <v>55086.99</v>
      </c>
      <c r="D38" s="13">
        <v>73803.73</v>
      </c>
      <c r="E38" s="144">
        <v>75053.789999999994</v>
      </c>
      <c r="F38" s="144">
        <v>49247.73</v>
      </c>
      <c r="G38" s="144">
        <v>30907.05</v>
      </c>
      <c r="H38" s="144">
        <v>32653.5</v>
      </c>
      <c r="I38" s="144">
        <v>50089.25</v>
      </c>
      <c r="J38" s="144">
        <v>42648.88</v>
      </c>
      <c r="K38" s="122">
        <v>60000</v>
      </c>
      <c r="L38" s="126">
        <v>20446</v>
      </c>
      <c r="M38" s="122">
        <v>53000</v>
      </c>
      <c r="N38" s="18">
        <v>18525</v>
      </c>
      <c r="O38" s="122">
        <v>53000</v>
      </c>
      <c r="P38" s="122"/>
      <c r="S38" s="202"/>
      <c r="T38" s="54"/>
    </row>
    <row r="39" spans="1:20" x14ac:dyDescent="0.25">
      <c r="A39" s="881">
        <v>5484</v>
      </c>
      <c r="B39" s="12" t="s">
        <v>335</v>
      </c>
      <c r="C39" s="144">
        <v>41019.53</v>
      </c>
      <c r="D39" s="18">
        <v>46732</v>
      </c>
      <c r="E39" s="126">
        <v>75705.59</v>
      </c>
      <c r="F39" s="126">
        <v>71319.490000000005</v>
      </c>
      <c r="G39" s="126">
        <v>70335.48</v>
      </c>
      <c r="H39" s="126">
        <v>78729.27</v>
      </c>
      <c r="I39" s="126">
        <f>33.5+89540.21</f>
        <v>89573.71</v>
      </c>
      <c r="J39" s="126">
        <v>93738.67</v>
      </c>
      <c r="K39" s="124">
        <v>80000</v>
      </c>
      <c r="L39" s="126">
        <v>79364.2</v>
      </c>
      <c r="M39" s="124">
        <v>85000</v>
      </c>
      <c r="N39" s="18">
        <v>52738.65</v>
      </c>
      <c r="O39" s="124">
        <v>85000</v>
      </c>
      <c r="P39" s="124"/>
      <c r="S39" s="2"/>
    </row>
    <row r="40" spans="1:20" x14ac:dyDescent="0.25">
      <c r="A40" s="881">
        <v>5500</v>
      </c>
      <c r="B40" s="12" t="s">
        <v>171</v>
      </c>
      <c r="C40" s="144"/>
      <c r="D40" s="18"/>
      <c r="E40" s="126">
        <v>11.94</v>
      </c>
      <c r="F40" s="126"/>
      <c r="G40" s="126"/>
      <c r="H40" s="126"/>
      <c r="I40" s="126">
        <v>127.13</v>
      </c>
      <c r="J40" s="126">
        <v>947.82</v>
      </c>
      <c r="K40" s="124">
        <v>150</v>
      </c>
      <c r="L40" s="126">
        <v>381.74</v>
      </c>
      <c r="M40" s="124">
        <v>150</v>
      </c>
      <c r="N40" s="18">
        <v>24.18</v>
      </c>
      <c r="O40" s="124">
        <v>150</v>
      </c>
      <c r="P40" s="124"/>
    </row>
    <row r="41" spans="1:20" x14ac:dyDescent="0.25">
      <c r="A41" s="881">
        <v>5530</v>
      </c>
      <c r="B41" s="12" t="s">
        <v>209</v>
      </c>
      <c r="C41" s="144">
        <v>43029.4</v>
      </c>
      <c r="D41" s="18">
        <v>45445.69</v>
      </c>
      <c r="E41" s="126">
        <v>36322.94</v>
      </c>
      <c r="F41" s="126">
        <v>43379.03</v>
      </c>
      <c r="G41" s="126">
        <v>24572.81</v>
      </c>
      <c r="H41" s="126">
        <v>31418.53</v>
      </c>
      <c r="I41" s="126">
        <v>30491.41</v>
      </c>
      <c r="J41" s="126">
        <v>29182.49</v>
      </c>
      <c r="K41" s="124">
        <v>55000</v>
      </c>
      <c r="L41" s="126">
        <v>47021.23</v>
      </c>
      <c r="M41" s="124">
        <v>55000</v>
      </c>
      <c r="N41" s="18">
        <v>39581.94</v>
      </c>
      <c r="O41" s="124">
        <v>71500</v>
      </c>
      <c r="P41" s="124"/>
    </row>
    <row r="42" spans="1:20" hidden="1" x14ac:dyDescent="0.25">
      <c r="A42" s="881">
        <v>5534</v>
      </c>
      <c r="B42" s="12" t="s">
        <v>210</v>
      </c>
      <c r="C42" s="144">
        <v>125</v>
      </c>
      <c r="D42" s="18"/>
      <c r="E42" s="126"/>
      <c r="F42" s="126"/>
      <c r="G42" s="126"/>
      <c r="H42" s="126"/>
      <c r="I42" s="126"/>
      <c r="J42" s="126"/>
      <c r="K42" s="124"/>
      <c r="L42" s="126"/>
      <c r="M42" s="124"/>
      <c r="N42" s="18"/>
      <c r="O42" s="124"/>
      <c r="P42" s="124"/>
    </row>
    <row r="43" spans="1:20" x14ac:dyDescent="0.25">
      <c r="A43" s="881">
        <v>5580</v>
      </c>
      <c r="B43" s="12" t="s">
        <v>1328</v>
      </c>
      <c r="C43" s="144"/>
      <c r="D43" s="18"/>
      <c r="E43" s="126"/>
      <c r="F43" s="126"/>
      <c r="G43" s="126"/>
      <c r="H43" s="126"/>
      <c r="I43" s="126">
        <v>12646.36</v>
      </c>
      <c r="J43" s="126"/>
      <c r="K43" s="124"/>
      <c r="L43" s="126"/>
      <c r="M43" s="124"/>
      <c r="N43" s="18"/>
      <c r="O43" s="124"/>
      <c r="P43" s="124"/>
    </row>
    <row r="44" spans="1:20" x14ac:dyDescent="0.25">
      <c r="A44" s="881">
        <v>5582</v>
      </c>
      <c r="B44" s="12" t="s">
        <v>173</v>
      </c>
      <c r="C44" s="144">
        <v>2596.34</v>
      </c>
      <c r="D44" s="18">
        <v>2080.9699999999998</v>
      </c>
      <c r="E44" s="126">
        <v>3880.7</v>
      </c>
      <c r="F44" s="126">
        <v>4245.47</v>
      </c>
      <c r="G44" s="126">
        <v>4901.04</v>
      </c>
      <c r="H44" s="126">
        <v>5798.09</v>
      </c>
      <c r="I44" s="126">
        <v>5887.39</v>
      </c>
      <c r="J44" s="126">
        <v>12423.84</v>
      </c>
      <c r="K44" s="124">
        <v>14000</v>
      </c>
      <c r="L44" s="126">
        <v>13865.13</v>
      </c>
      <c r="M44" s="124">
        <v>14000</v>
      </c>
      <c r="N44" s="18">
        <v>8101.98</v>
      </c>
      <c r="O44" s="124">
        <v>14000</v>
      </c>
      <c r="P44" s="124"/>
    </row>
    <row r="45" spans="1:20" x14ac:dyDescent="0.25">
      <c r="A45" s="881">
        <v>5588</v>
      </c>
      <c r="B45" s="63" t="s">
        <v>214</v>
      </c>
      <c r="C45" s="144"/>
      <c r="D45" s="18"/>
      <c r="E45" s="126"/>
      <c r="F45" s="126"/>
      <c r="G45" s="126">
        <v>164</v>
      </c>
      <c r="H45" s="126"/>
      <c r="I45" s="126">
        <v>0</v>
      </c>
      <c r="J45" s="126"/>
      <c r="K45" s="124">
        <v>1000</v>
      </c>
      <c r="L45" s="126"/>
      <c r="M45" s="124">
        <v>1000</v>
      </c>
      <c r="N45" s="13"/>
      <c r="O45" s="124">
        <v>500</v>
      </c>
      <c r="P45" s="124"/>
    </row>
    <row r="46" spans="1:20" x14ac:dyDescent="0.25">
      <c r="A46" s="881">
        <v>5710</v>
      </c>
      <c r="B46" s="12" t="s">
        <v>535</v>
      </c>
      <c r="C46" s="320">
        <v>44.78</v>
      </c>
      <c r="D46" s="18">
        <v>22.6</v>
      </c>
      <c r="E46" s="126"/>
      <c r="F46" s="126"/>
      <c r="G46" s="126"/>
      <c r="H46" s="126"/>
      <c r="I46" s="126">
        <v>0</v>
      </c>
      <c r="J46" s="126"/>
      <c r="K46" s="124">
        <v>125</v>
      </c>
      <c r="L46" s="126"/>
      <c r="M46" s="124">
        <v>125</v>
      </c>
      <c r="N46" s="18">
        <v>100</v>
      </c>
      <c r="O46" s="124">
        <v>125</v>
      </c>
      <c r="P46" s="124"/>
    </row>
    <row r="47" spans="1:20" x14ac:dyDescent="0.25">
      <c r="A47" s="881">
        <v>5730</v>
      </c>
      <c r="B47" s="12" t="s">
        <v>147</v>
      </c>
      <c r="C47" s="233">
        <v>361</v>
      </c>
      <c r="D47" s="18">
        <v>233</v>
      </c>
      <c r="E47" s="126">
        <v>381</v>
      </c>
      <c r="F47" s="126">
        <v>381</v>
      </c>
      <c r="G47" s="126">
        <v>356</v>
      </c>
      <c r="H47" s="126">
        <v>125</v>
      </c>
      <c r="I47" s="126">
        <v>125</v>
      </c>
      <c r="J47" s="126">
        <v>125</v>
      </c>
      <c r="K47" s="124">
        <v>500</v>
      </c>
      <c r="L47" s="126">
        <v>431</v>
      </c>
      <c r="M47" s="124">
        <v>500</v>
      </c>
      <c r="N47" s="18">
        <v>256</v>
      </c>
      <c r="O47" s="124">
        <v>500</v>
      </c>
      <c r="P47" s="124"/>
    </row>
    <row r="48" spans="1:20" x14ac:dyDescent="0.25">
      <c r="A48" s="913"/>
      <c r="B48" s="12" t="s">
        <v>1616</v>
      </c>
      <c r="C48" s="233"/>
      <c r="D48" s="30"/>
      <c r="E48" s="320"/>
      <c r="F48" s="320"/>
      <c r="G48" s="320"/>
      <c r="H48" s="320"/>
      <c r="I48" s="320"/>
      <c r="J48" s="320"/>
      <c r="K48" s="142"/>
      <c r="L48" s="320">
        <v>4024.03</v>
      </c>
      <c r="M48" s="142"/>
      <c r="N48" s="30"/>
      <c r="O48" s="142"/>
      <c r="P48" s="142"/>
    </row>
    <row r="49" spans="1:19" ht="13.8" thickBot="1" x14ac:dyDescent="0.3">
      <c r="A49" s="911">
        <v>5783</v>
      </c>
      <c r="B49" s="63" t="s">
        <v>205</v>
      </c>
      <c r="C49" s="318">
        <v>780</v>
      </c>
      <c r="D49" s="15">
        <v>1710</v>
      </c>
      <c r="E49" s="318">
        <v>1440</v>
      </c>
      <c r="F49" s="318">
        <v>724</v>
      </c>
      <c r="G49" s="318">
        <v>567.9</v>
      </c>
      <c r="H49" s="318">
        <v>1328.7</v>
      </c>
      <c r="I49" s="318">
        <v>1056</v>
      </c>
      <c r="J49" s="318">
        <v>1204.95</v>
      </c>
      <c r="K49" s="123">
        <v>1500</v>
      </c>
      <c r="L49" s="318">
        <v>950</v>
      </c>
      <c r="M49" s="123">
        <v>1500</v>
      </c>
      <c r="N49" s="15">
        <v>542.41</v>
      </c>
      <c r="O49" s="123">
        <v>1500</v>
      </c>
      <c r="P49" s="123"/>
    </row>
    <row r="50" spans="1:19" x14ac:dyDescent="0.25">
      <c r="A50" s="908"/>
      <c r="B50" s="65" t="s">
        <v>449</v>
      </c>
      <c r="C50" s="126">
        <f t="shared" ref="C50:P50" si="2">SUM(C18:C49)</f>
        <v>243566.75999999998</v>
      </c>
      <c r="D50" s="18">
        <f t="shared" si="2"/>
        <v>291089.50999999995</v>
      </c>
      <c r="E50" s="18">
        <f t="shared" si="2"/>
        <v>317125.98000000004</v>
      </c>
      <c r="F50" s="18">
        <f t="shared" si="2"/>
        <v>325780</v>
      </c>
      <c r="G50" s="18">
        <f t="shared" si="2"/>
        <v>266189.69999999995</v>
      </c>
      <c r="H50" s="18">
        <f t="shared" si="2"/>
        <v>308177.65000000002</v>
      </c>
      <c r="I50" s="18">
        <f t="shared" si="2"/>
        <v>353764.51</v>
      </c>
      <c r="J50" s="18">
        <f t="shared" si="2"/>
        <v>357516.41000000009</v>
      </c>
      <c r="K50" s="19">
        <f>SUM(K18:K49)</f>
        <v>402025</v>
      </c>
      <c r="L50" s="18">
        <f t="shared" ref="L50" si="3">SUM(L18:L49)</f>
        <v>350249.79</v>
      </c>
      <c r="M50" s="19">
        <f>SUM(M18:M49)</f>
        <v>420775</v>
      </c>
      <c r="N50" s="18">
        <f t="shared" si="2"/>
        <v>202712.68</v>
      </c>
      <c r="O50" s="19">
        <f>SUM(O18:O49)</f>
        <v>457875</v>
      </c>
      <c r="P50" s="19">
        <f t="shared" si="2"/>
        <v>0</v>
      </c>
    </row>
    <row r="51" spans="1:19" x14ac:dyDescent="0.25">
      <c r="A51" s="908"/>
      <c r="B51" s="65"/>
      <c r="C51" s="126"/>
      <c r="D51" s="18"/>
      <c r="E51" s="18"/>
      <c r="F51" s="18"/>
      <c r="G51" s="18"/>
      <c r="H51" s="18"/>
      <c r="I51" s="18"/>
      <c r="J51" s="18"/>
      <c r="K51" s="19"/>
      <c r="L51" s="18"/>
      <c r="M51" s="19"/>
      <c r="N51" s="18"/>
      <c r="O51" s="19"/>
      <c r="P51" s="19"/>
    </row>
    <row r="52" spans="1:19" ht="13.8" thickBot="1" x14ac:dyDescent="0.3">
      <c r="A52" s="908">
        <v>5800</v>
      </c>
      <c r="B52" s="29" t="s">
        <v>1889</v>
      </c>
      <c r="C52" s="126"/>
      <c r="D52" s="18"/>
      <c r="E52" s="18"/>
      <c r="F52" s="15"/>
      <c r="G52" s="15"/>
      <c r="H52" s="15"/>
      <c r="I52" s="15">
        <v>21320.41</v>
      </c>
      <c r="J52" s="15">
        <v>21320.41</v>
      </c>
      <c r="K52" s="16">
        <v>24090</v>
      </c>
      <c r="L52" s="15">
        <v>21320.41</v>
      </c>
      <c r="M52" s="16">
        <v>21321</v>
      </c>
      <c r="N52" s="15"/>
      <c r="O52" s="123"/>
      <c r="P52" s="16"/>
    </row>
    <row r="53" spans="1:19" x14ac:dyDescent="0.25">
      <c r="A53" s="908"/>
      <c r="B53" s="65" t="s">
        <v>136</v>
      </c>
      <c r="C53" s="126"/>
      <c r="D53" s="18"/>
      <c r="E53" s="18"/>
      <c r="F53" s="18"/>
      <c r="G53" s="18"/>
      <c r="H53" s="18"/>
      <c r="I53" s="18">
        <f>+I52</f>
        <v>21320.41</v>
      </c>
      <c r="J53" s="18">
        <f>+J52</f>
        <v>21320.41</v>
      </c>
      <c r="K53" s="19">
        <f>+K52</f>
        <v>24090</v>
      </c>
      <c r="L53" s="18">
        <f t="shared" ref="L53:M53" si="4">+L52</f>
        <v>21320.41</v>
      </c>
      <c r="M53" s="19">
        <f t="shared" si="4"/>
        <v>21321</v>
      </c>
      <c r="N53" s="155">
        <f>+N52</f>
        <v>0</v>
      </c>
      <c r="O53" s="19">
        <f>+O52</f>
        <v>0</v>
      </c>
      <c r="P53" s="19">
        <f>+O53</f>
        <v>0</v>
      </c>
    </row>
    <row r="54" spans="1:19" x14ac:dyDescent="0.25">
      <c r="A54" s="881"/>
      <c r="B54" s="12"/>
      <c r="C54" s="144"/>
      <c r="D54" s="13"/>
      <c r="E54" s="13"/>
      <c r="F54" s="13"/>
      <c r="G54" s="13"/>
      <c r="H54" s="13"/>
      <c r="I54" s="13"/>
      <c r="J54" s="13"/>
      <c r="K54" s="14"/>
      <c r="L54" s="13"/>
      <c r="M54" s="14"/>
      <c r="N54" s="166"/>
      <c r="O54" s="14"/>
      <c r="P54" s="14"/>
    </row>
    <row r="55" spans="1:19" ht="13.8" thickBot="1" x14ac:dyDescent="0.3">
      <c r="A55" s="882"/>
      <c r="B55" s="20" t="s">
        <v>459</v>
      </c>
      <c r="C55" s="321">
        <f t="shared" ref="C55:H55" si="5">+C50+C16</f>
        <v>802502.48</v>
      </c>
      <c r="D55" s="321">
        <f t="shared" si="5"/>
        <v>876670.5399999998</v>
      </c>
      <c r="E55" s="321">
        <f t="shared" si="5"/>
        <v>887268.20000000019</v>
      </c>
      <c r="F55" s="321">
        <f t="shared" si="5"/>
        <v>901975.19000000006</v>
      </c>
      <c r="G55" s="321">
        <f t="shared" si="5"/>
        <v>840324.77</v>
      </c>
      <c r="H55" s="321">
        <f t="shared" si="5"/>
        <v>912147.92999999993</v>
      </c>
      <c r="I55" s="21">
        <f>+I50+I16+I53</f>
        <v>986744.43</v>
      </c>
      <c r="J55" s="21">
        <f>+J50+J16+J53</f>
        <v>1026490.5600000002</v>
      </c>
      <c r="K55" s="41">
        <f>+K50+K16+K53</f>
        <v>1108316</v>
      </c>
      <c r="L55" s="21">
        <f t="shared" ref="L55:M55" si="6">+L50+L16+L53</f>
        <v>1029723.7500000001</v>
      </c>
      <c r="M55" s="41">
        <f t="shared" si="6"/>
        <v>1164708</v>
      </c>
      <c r="N55" s="593">
        <f>+N50+N16+N53</f>
        <v>564031.73</v>
      </c>
      <c r="O55" s="41">
        <f>+O50+O16+O53</f>
        <v>1175166</v>
      </c>
      <c r="P55" s="41">
        <f>+O55</f>
        <v>1175166</v>
      </c>
    </row>
    <row r="56" spans="1:19" ht="13.8" thickTop="1" x14ac:dyDescent="0.25">
      <c r="A56" s="876"/>
      <c r="B56" s="4"/>
      <c r="C56" s="105"/>
      <c r="D56" s="23"/>
      <c r="E56" s="23"/>
      <c r="F56" s="23"/>
      <c r="G56" s="23"/>
      <c r="H56" s="23"/>
      <c r="I56" s="23"/>
      <c r="J56" s="23"/>
      <c r="K56" s="23"/>
      <c r="L56" s="23"/>
      <c r="M56" s="23"/>
      <c r="N56" s="27"/>
      <c r="O56" s="23"/>
      <c r="P56" s="23"/>
      <c r="Q56" s="27"/>
      <c r="R56" s="27"/>
      <c r="S56" s="27"/>
    </row>
    <row r="57" spans="1:19" x14ac:dyDescent="0.25">
      <c r="A57" s="66">
        <v>44600</v>
      </c>
      <c r="B57" s="4" t="s">
        <v>1890</v>
      </c>
      <c r="C57" s="105"/>
      <c r="D57" s="23"/>
      <c r="E57" s="23"/>
      <c r="F57" s="23"/>
      <c r="G57" s="23"/>
      <c r="H57" s="23"/>
      <c r="I57" s="23"/>
      <c r="J57" s="23"/>
      <c r="K57" s="23"/>
      <c r="L57" s="23"/>
      <c r="M57" s="23"/>
      <c r="N57" s="27"/>
      <c r="O57" s="23"/>
      <c r="P57" s="23"/>
      <c r="Q57" s="27"/>
      <c r="R57" s="27"/>
      <c r="S57" s="27"/>
    </row>
    <row r="58" spans="1:19" x14ac:dyDescent="0.25">
      <c r="A58" s="66">
        <v>44602</v>
      </c>
      <c r="B58" s="4" t="s">
        <v>1893</v>
      </c>
      <c r="C58" s="105"/>
      <c r="D58" s="23"/>
      <c r="E58" s="23"/>
      <c r="F58" s="23"/>
      <c r="G58" s="23"/>
      <c r="H58" s="23"/>
      <c r="I58" s="23"/>
      <c r="J58" s="23"/>
      <c r="K58" s="23"/>
      <c r="L58" s="23"/>
      <c r="M58" s="23"/>
      <c r="N58" s="27"/>
      <c r="O58" s="23"/>
      <c r="P58" s="23"/>
      <c r="Q58" s="27"/>
      <c r="R58" s="27"/>
      <c r="S58" s="27"/>
    </row>
    <row r="59" spans="1:19" ht="13.8" thickBot="1" x14ac:dyDescent="0.3">
      <c r="A59" s="876"/>
      <c r="B59" s="4"/>
      <c r="C59" s="105"/>
      <c r="D59" s="23"/>
      <c r="E59" s="23"/>
      <c r="F59" s="23"/>
      <c r="G59" s="23"/>
      <c r="H59" s="23"/>
      <c r="I59" s="23"/>
      <c r="J59" s="23"/>
      <c r="K59" s="23"/>
      <c r="L59" s="23"/>
      <c r="M59" s="23"/>
      <c r="N59" s="27"/>
      <c r="O59" s="23"/>
      <c r="P59" s="23"/>
      <c r="Q59" s="27"/>
      <c r="R59" s="27"/>
      <c r="S59" s="27"/>
    </row>
    <row r="60" spans="1:19" ht="13.8" thickTop="1" x14ac:dyDescent="0.25">
      <c r="A60" s="893"/>
      <c r="B60" s="452"/>
      <c r="C60" s="453" t="s">
        <v>127</v>
      </c>
      <c r="D60" s="454" t="s">
        <v>127</v>
      </c>
      <c r="E60" s="454" t="s">
        <v>127</v>
      </c>
      <c r="K60" s="455" t="s">
        <v>547</v>
      </c>
      <c r="L60" s="456" t="s">
        <v>9</v>
      </c>
      <c r="M60" s="457" t="s">
        <v>1073</v>
      </c>
      <c r="N60" s="456" t="s">
        <v>686</v>
      </c>
      <c r="O60" s="458"/>
      <c r="P60" s="457"/>
      <c r="Q60" s="27"/>
      <c r="R60" s="27"/>
      <c r="S60" s="27"/>
    </row>
    <row r="61" spans="1:19" ht="13.8" thickBot="1" x14ac:dyDescent="0.3">
      <c r="A61" s="894" t="s">
        <v>128</v>
      </c>
      <c r="B61" s="459"/>
      <c r="C61" s="460" t="s">
        <v>347</v>
      </c>
      <c r="D61" s="460" t="s">
        <v>722</v>
      </c>
      <c r="E61" s="461" t="s">
        <v>737</v>
      </c>
      <c r="K61" s="462" t="s">
        <v>909</v>
      </c>
      <c r="L61" s="462" t="s">
        <v>910</v>
      </c>
      <c r="M61" s="461" t="s">
        <v>1075</v>
      </c>
      <c r="N61" s="463" t="s">
        <v>1075</v>
      </c>
      <c r="O61" s="464" t="s">
        <v>1074</v>
      </c>
      <c r="P61" s="462"/>
      <c r="Q61" s="27"/>
      <c r="R61" s="27"/>
      <c r="S61" s="27"/>
    </row>
    <row r="62" spans="1:19" ht="13.8" thickTop="1" x14ac:dyDescent="0.25">
      <c r="A62" s="906"/>
      <c r="B62" s="487"/>
      <c r="C62" s="488"/>
      <c r="D62" s="489"/>
      <c r="E62" s="489"/>
      <c r="K62" s="490"/>
      <c r="L62" s="654"/>
      <c r="M62" s="490"/>
      <c r="N62" s="488"/>
      <c r="O62" s="470"/>
      <c r="P62" s="471"/>
      <c r="Q62" s="27"/>
      <c r="R62" s="27"/>
      <c r="S62" s="27"/>
    </row>
    <row r="63" spans="1:19" x14ac:dyDescent="0.25">
      <c r="A63" s="907">
        <v>5112</v>
      </c>
      <c r="B63" s="472" t="s">
        <v>159</v>
      </c>
      <c r="C63" s="476">
        <v>544527.98</v>
      </c>
      <c r="D63" s="476">
        <f>165.7+562801.37+6191.59</f>
        <v>569158.65999999992</v>
      </c>
      <c r="E63" s="476">
        <v>540718.27</v>
      </c>
      <c r="K63" s="475">
        <f t="shared" ref="K63:K69" si="7">+M9</f>
        <v>671995</v>
      </c>
      <c r="L63" s="497">
        <f t="shared" ref="L63:L69" si="8">+O9</f>
        <v>685516</v>
      </c>
      <c r="M63" s="500">
        <f t="shared" ref="M63:M100" si="9">+L63-K63</f>
        <v>13521</v>
      </c>
      <c r="N63" s="477">
        <f t="shared" ref="N63:N94" si="10">IF(K63+L63&lt;&gt;0,IF(K63&lt;&gt;0,IF(M63&lt;&gt;0,ROUND((+M63/K63),4),""),1),"")</f>
        <v>2.01E-2</v>
      </c>
      <c r="O63" s="470" t="s">
        <v>1754</v>
      </c>
      <c r="P63" s="471"/>
      <c r="Q63" s="27"/>
      <c r="R63" s="27"/>
      <c r="S63" s="27"/>
    </row>
    <row r="64" spans="1:19" x14ac:dyDescent="0.25">
      <c r="A64" s="907">
        <v>5132</v>
      </c>
      <c r="B64" s="472" t="s">
        <v>191</v>
      </c>
      <c r="C64" s="476">
        <f>232.1+5303.32</f>
        <v>5535.42</v>
      </c>
      <c r="D64" s="476">
        <f>136.61+5676.65</f>
        <v>5813.2599999999993</v>
      </c>
      <c r="E64" s="476">
        <v>4186.1000000000004</v>
      </c>
      <c r="K64" s="475">
        <f t="shared" si="7"/>
        <v>12000</v>
      </c>
      <c r="L64" s="497">
        <f t="shared" si="8"/>
        <v>12250</v>
      </c>
      <c r="M64" s="500">
        <f t="shared" si="9"/>
        <v>250</v>
      </c>
      <c r="N64" s="477">
        <f t="shared" si="10"/>
        <v>2.0799999999999999E-2</v>
      </c>
      <c r="O64" s="470" t="s">
        <v>1754</v>
      </c>
      <c r="P64" s="471"/>
      <c r="Q64" s="27"/>
      <c r="R64" s="27"/>
      <c r="S64" s="27"/>
    </row>
    <row r="65" spans="1:19" x14ac:dyDescent="0.25">
      <c r="A65" s="907">
        <v>5142</v>
      </c>
      <c r="B65" s="472" t="s">
        <v>57</v>
      </c>
      <c r="C65" s="478">
        <v>5672.24</v>
      </c>
      <c r="D65" s="478">
        <f>19.09+5997.6</f>
        <v>6016.6900000000005</v>
      </c>
      <c r="E65" s="478">
        <v>6103.83</v>
      </c>
      <c r="K65" s="475">
        <f t="shared" si="7"/>
        <v>18000</v>
      </c>
      <c r="L65" s="497">
        <f t="shared" si="8"/>
        <v>17000</v>
      </c>
      <c r="M65" s="500">
        <f t="shared" si="9"/>
        <v>-1000</v>
      </c>
      <c r="N65" s="477">
        <f t="shared" si="10"/>
        <v>-5.5599999999999997E-2</v>
      </c>
      <c r="O65" s="470" t="s">
        <v>1754</v>
      </c>
      <c r="P65" s="471"/>
      <c r="Q65" s="27"/>
      <c r="R65" s="27"/>
      <c r="S65" s="27"/>
    </row>
    <row r="66" spans="1:19" x14ac:dyDescent="0.25">
      <c r="A66" s="907">
        <v>5144</v>
      </c>
      <c r="B66" s="472" t="s">
        <v>157</v>
      </c>
      <c r="C66" s="476">
        <v>2600</v>
      </c>
      <c r="D66" s="476">
        <v>3750</v>
      </c>
      <c r="E66" s="476">
        <v>3000</v>
      </c>
      <c r="K66" s="475">
        <f t="shared" si="7"/>
        <v>3600</v>
      </c>
      <c r="L66" s="497">
        <f t="shared" si="8"/>
        <v>1000</v>
      </c>
      <c r="M66" s="500">
        <f t="shared" si="9"/>
        <v>-2600</v>
      </c>
      <c r="N66" s="477">
        <f t="shared" si="10"/>
        <v>-0.72219999999999995</v>
      </c>
      <c r="O66" s="470" t="s">
        <v>1755</v>
      </c>
      <c r="P66" s="471"/>
      <c r="Q66" s="27"/>
      <c r="R66" s="27"/>
      <c r="S66" s="27"/>
    </row>
    <row r="67" spans="1:19" x14ac:dyDescent="0.25">
      <c r="A67" s="907">
        <v>5145</v>
      </c>
      <c r="B67" s="472" t="s">
        <v>602</v>
      </c>
      <c r="C67" s="476">
        <v>600.08000000000004</v>
      </c>
      <c r="D67" s="476">
        <v>842.42</v>
      </c>
      <c r="E67" s="476">
        <v>1200.1600000000001</v>
      </c>
      <c r="K67" s="475">
        <f t="shared" si="7"/>
        <v>1525</v>
      </c>
      <c r="L67" s="497">
        <f t="shared" si="8"/>
        <v>1525</v>
      </c>
      <c r="M67" s="500">
        <f t="shared" si="9"/>
        <v>0</v>
      </c>
      <c r="N67" s="477" t="str">
        <f t="shared" si="10"/>
        <v/>
      </c>
      <c r="O67" s="470"/>
      <c r="P67" s="471"/>
      <c r="Q67" s="27"/>
      <c r="R67" s="27"/>
      <c r="S67" s="27"/>
    </row>
    <row r="68" spans="1:19" x14ac:dyDescent="0.25">
      <c r="A68" s="907">
        <v>5193</v>
      </c>
      <c r="B68" s="472" t="s">
        <v>699</v>
      </c>
      <c r="C68" s="476"/>
      <c r="D68" s="476"/>
      <c r="E68" s="476">
        <v>9799.56</v>
      </c>
      <c r="K68" s="475">
        <f t="shared" si="7"/>
        <v>11292</v>
      </c>
      <c r="L68" s="497">
        <f t="shared" si="8"/>
        <v>0</v>
      </c>
      <c r="M68" s="500">
        <f t="shared" si="9"/>
        <v>-11292</v>
      </c>
      <c r="N68" s="477">
        <f t="shared" si="10"/>
        <v>-1</v>
      </c>
      <c r="O68" s="470" t="s">
        <v>1756</v>
      </c>
      <c r="P68" s="471"/>
      <c r="Q68" s="27"/>
      <c r="R68" s="27"/>
      <c r="S68" s="27"/>
    </row>
    <row r="69" spans="1:19" ht="13.8" thickBot="1" x14ac:dyDescent="0.3">
      <c r="A69" s="907">
        <v>5194</v>
      </c>
      <c r="B69" s="472" t="s">
        <v>226</v>
      </c>
      <c r="C69" s="495"/>
      <c r="D69" s="495"/>
      <c r="E69" s="495">
        <v>5134.3</v>
      </c>
      <c r="K69" s="475">
        <f t="shared" si="7"/>
        <v>4200</v>
      </c>
      <c r="L69" s="497">
        <f t="shared" si="8"/>
        <v>0</v>
      </c>
      <c r="M69" s="500">
        <f t="shared" si="9"/>
        <v>-4200</v>
      </c>
      <c r="N69" s="477">
        <f t="shared" si="10"/>
        <v>-1</v>
      </c>
      <c r="O69" s="470" t="s">
        <v>1756</v>
      </c>
      <c r="P69" s="471"/>
      <c r="Q69" s="27"/>
      <c r="R69" s="27"/>
      <c r="S69" s="27"/>
    </row>
    <row r="70" spans="1:19" x14ac:dyDescent="0.25">
      <c r="A70" s="907">
        <v>5242</v>
      </c>
      <c r="B70" s="472" t="s">
        <v>197</v>
      </c>
      <c r="C70" s="476"/>
      <c r="D70" s="468">
        <v>1665</v>
      </c>
      <c r="E70" s="468">
        <v>687.54</v>
      </c>
      <c r="K70" s="469">
        <f t="shared" ref="K70:K99" si="11">+M18</f>
        <v>3500</v>
      </c>
      <c r="L70" s="497">
        <f t="shared" ref="L70:L99" si="12">+O18</f>
        <v>7100</v>
      </c>
      <c r="M70" s="500">
        <f t="shared" si="9"/>
        <v>3600</v>
      </c>
      <c r="N70" s="477">
        <f t="shared" si="10"/>
        <v>1.0286</v>
      </c>
      <c r="O70" s="470" t="s">
        <v>1757</v>
      </c>
      <c r="P70" s="471"/>
      <c r="Q70" s="4"/>
      <c r="R70" s="4"/>
      <c r="S70" s="4"/>
    </row>
    <row r="71" spans="1:19" x14ac:dyDescent="0.25">
      <c r="A71" s="907">
        <v>5245</v>
      </c>
      <c r="B71" s="472" t="s">
        <v>183</v>
      </c>
      <c r="C71" s="476">
        <v>15640.85</v>
      </c>
      <c r="D71" s="468">
        <v>20923.13</v>
      </c>
      <c r="E71" s="468">
        <v>22296.94</v>
      </c>
      <c r="K71" s="469">
        <f t="shared" si="11"/>
        <v>35000</v>
      </c>
      <c r="L71" s="497">
        <f t="shared" si="12"/>
        <v>35000</v>
      </c>
      <c r="M71" s="500">
        <f t="shared" si="9"/>
        <v>0</v>
      </c>
      <c r="N71" s="477" t="str">
        <f t="shared" si="10"/>
        <v/>
      </c>
      <c r="O71" s="470"/>
      <c r="P71" s="471"/>
      <c r="Q71" s="4"/>
      <c r="R71" s="4"/>
      <c r="S71" s="4"/>
    </row>
    <row r="72" spans="1:19" x14ac:dyDescent="0.25">
      <c r="A72" s="907">
        <v>5248</v>
      </c>
      <c r="B72" s="472" t="s">
        <v>138</v>
      </c>
      <c r="C72" s="476"/>
      <c r="D72" s="468">
        <v>0</v>
      </c>
      <c r="E72" s="468">
        <v>503.29</v>
      </c>
      <c r="K72" s="469">
        <f t="shared" si="11"/>
        <v>4200</v>
      </c>
      <c r="L72" s="497">
        <f t="shared" si="12"/>
        <v>2000</v>
      </c>
      <c r="M72" s="500">
        <f t="shared" si="9"/>
        <v>-2200</v>
      </c>
      <c r="N72" s="477">
        <f t="shared" si="10"/>
        <v>-0.52380000000000004</v>
      </c>
      <c r="O72" s="470" t="s">
        <v>1758</v>
      </c>
      <c r="P72" s="471"/>
      <c r="Q72" s="4"/>
      <c r="R72" s="4"/>
      <c r="S72" s="4"/>
    </row>
    <row r="73" spans="1:19" x14ac:dyDescent="0.25">
      <c r="A73" s="907">
        <v>5251</v>
      </c>
      <c r="B73" s="472" t="s">
        <v>167</v>
      </c>
      <c r="C73" s="484">
        <v>2288.5700000000002</v>
      </c>
      <c r="D73" s="468">
        <v>3552.43</v>
      </c>
      <c r="E73" s="468">
        <v>5595.84</v>
      </c>
      <c r="K73" s="469">
        <f t="shared" si="11"/>
        <v>7000</v>
      </c>
      <c r="L73" s="497">
        <f t="shared" si="12"/>
        <v>9200</v>
      </c>
      <c r="M73" s="500">
        <f t="shared" si="9"/>
        <v>2200</v>
      </c>
      <c r="N73" s="477">
        <f t="shared" si="10"/>
        <v>0.31430000000000002</v>
      </c>
      <c r="O73" s="470" t="s">
        <v>1759</v>
      </c>
      <c r="P73" s="471"/>
      <c r="Q73" s="4"/>
      <c r="R73" s="4"/>
      <c r="S73" s="4"/>
    </row>
    <row r="74" spans="1:19" hidden="1" x14ac:dyDescent="0.25">
      <c r="A74" s="907">
        <v>5277</v>
      </c>
      <c r="B74" s="472" t="s">
        <v>206</v>
      </c>
      <c r="C74" s="476"/>
      <c r="D74" s="468">
        <v>0</v>
      </c>
      <c r="E74" s="468"/>
      <c r="K74" s="469">
        <f t="shared" si="11"/>
        <v>0</v>
      </c>
      <c r="L74" s="497">
        <f t="shared" si="12"/>
        <v>0</v>
      </c>
      <c r="M74" s="500">
        <f t="shared" si="9"/>
        <v>0</v>
      </c>
      <c r="N74" s="477" t="str">
        <f t="shared" si="10"/>
        <v/>
      </c>
      <c r="O74" s="470"/>
      <c r="P74" s="471"/>
      <c r="Q74" s="4"/>
      <c r="R74" s="4"/>
      <c r="S74" s="4"/>
    </row>
    <row r="75" spans="1:19" hidden="1" x14ac:dyDescent="0.25">
      <c r="A75" s="907">
        <v>5278</v>
      </c>
      <c r="B75" s="472" t="s">
        <v>447</v>
      </c>
      <c r="C75" s="476">
        <v>6254.36</v>
      </c>
      <c r="D75" s="468">
        <v>7210.2</v>
      </c>
      <c r="E75" s="468">
        <v>7337.82</v>
      </c>
      <c r="K75" s="469">
        <f t="shared" si="11"/>
        <v>0</v>
      </c>
      <c r="L75" s="497">
        <f t="shared" si="12"/>
        <v>0</v>
      </c>
      <c r="M75" s="500">
        <f t="shared" si="9"/>
        <v>0</v>
      </c>
      <c r="N75" s="477" t="str">
        <f t="shared" si="10"/>
        <v/>
      </c>
      <c r="O75" s="470"/>
      <c r="P75" s="471"/>
      <c r="Q75" s="4"/>
      <c r="R75" s="4"/>
      <c r="S75" s="4"/>
    </row>
    <row r="76" spans="1:19" x14ac:dyDescent="0.25">
      <c r="A76" s="907">
        <v>5310</v>
      </c>
      <c r="B76" s="472" t="s">
        <v>204</v>
      </c>
      <c r="C76" s="476">
        <v>1659.5</v>
      </c>
      <c r="D76" s="468">
        <v>1863</v>
      </c>
      <c r="E76" s="468">
        <v>1535</v>
      </c>
      <c r="K76" s="469">
        <f t="shared" si="11"/>
        <v>5000</v>
      </c>
      <c r="L76" s="497">
        <f t="shared" si="12"/>
        <v>5000</v>
      </c>
      <c r="M76" s="500">
        <f t="shared" si="9"/>
        <v>0</v>
      </c>
      <c r="N76" s="477" t="str">
        <f t="shared" si="10"/>
        <v/>
      </c>
      <c r="O76" s="470"/>
      <c r="P76" s="471"/>
      <c r="Q76" s="4"/>
      <c r="R76" s="4"/>
      <c r="S76" s="4"/>
    </row>
    <row r="77" spans="1:19" x14ac:dyDescent="0.25">
      <c r="A77" s="907">
        <v>5314</v>
      </c>
      <c r="B77" s="472" t="s">
        <v>139</v>
      </c>
      <c r="C77" s="476">
        <v>35</v>
      </c>
      <c r="D77" s="468">
        <v>65</v>
      </c>
      <c r="E77" s="468">
        <v>80</v>
      </c>
      <c r="K77" s="469">
        <f t="shared" si="11"/>
        <v>200</v>
      </c>
      <c r="L77" s="497">
        <f t="shared" si="12"/>
        <v>200</v>
      </c>
      <c r="M77" s="500">
        <f t="shared" si="9"/>
        <v>0</v>
      </c>
      <c r="N77" s="477" t="str">
        <f t="shared" si="10"/>
        <v/>
      </c>
      <c r="O77" s="470"/>
      <c r="P77" s="471"/>
      <c r="Q77" s="4"/>
      <c r="R77" s="4"/>
      <c r="S77" s="4"/>
    </row>
    <row r="78" spans="1:19" x14ac:dyDescent="0.25">
      <c r="A78" s="907">
        <v>5315</v>
      </c>
      <c r="B78" s="472" t="s">
        <v>132</v>
      </c>
      <c r="C78" s="476">
        <v>24208.71</v>
      </c>
      <c r="D78" s="468">
        <v>21600.63</v>
      </c>
      <c r="E78" s="468">
        <v>27572.84</v>
      </c>
      <c r="K78" s="469">
        <f t="shared" si="11"/>
        <v>18000</v>
      </c>
      <c r="L78" s="497">
        <f t="shared" si="12"/>
        <v>18500</v>
      </c>
      <c r="M78" s="500">
        <f t="shared" si="9"/>
        <v>500</v>
      </c>
      <c r="N78" s="477">
        <f t="shared" si="10"/>
        <v>2.7799999999999998E-2</v>
      </c>
      <c r="O78" s="470" t="s">
        <v>1359</v>
      </c>
      <c r="P78" s="471"/>
      <c r="Q78" s="4"/>
      <c r="R78" s="4"/>
      <c r="S78" s="4"/>
    </row>
    <row r="79" spans="1:19" x14ac:dyDescent="0.25">
      <c r="A79" s="907">
        <v>5320</v>
      </c>
      <c r="B79" s="472" t="s">
        <v>1258</v>
      </c>
      <c r="C79" s="476"/>
      <c r="D79" s="468"/>
      <c r="E79" s="468"/>
      <c r="K79" s="469">
        <f t="shared" si="11"/>
        <v>28000</v>
      </c>
      <c r="L79" s="497">
        <f t="shared" si="12"/>
        <v>28000</v>
      </c>
      <c r="M79" s="500">
        <f t="shared" si="9"/>
        <v>0</v>
      </c>
      <c r="N79" s="477" t="str">
        <f t="shared" si="10"/>
        <v/>
      </c>
      <c r="O79" s="470"/>
      <c r="P79" s="471"/>
      <c r="Q79" s="4"/>
      <c r="R79" s="4"/>
      <c r="S79" s="4"/>
    </row>
    <row r="80" spans="1:19" x14ac:dyDescent="0.25">
      <c r="A80" s="907">
        <v>5341</v>
      </c>
      <c r="B80" s="472" t="s">
        <v>1175</v>
      </c>
      <c r="C80" s="476">
        <v>3078.49</v>
      </c>
      <c r="D80" s="468">
        <v>3210.87</v>
      </c>
      <c r="E80" s="468">
        <v>3419.12</v>
      </c>
      <c r="K80" s="469">
        <f t="shared" si="11"/>
        <v>3500</v>
      </c>
      <c r="L80" s="497">
        <f t="shared" si="12"/>
        <v>3000</v>
      </c>
      <c r="M80" s="500">
        <f t="shared" si="9"/>
        <v>-500</v>
      </c>
      <c r="N80" s="477">
        <f t="shared" si="10"/>
        <v>-0.1429</v>
      </c>
      <c r="O80" s="470" t="s">
        <v>1760</v>
      </c>
      <c r="P80" s="471"/>
      <c r="Q80" s="4"/>
      <c r="R80" s="4"/>
      <c r="S80" s="4"/>
    </row>
    <row r="81" spans="1:19" x14ac:dyDescent="0.25">
      <c r="A81" s="907">
        <v>5344</v>
      </c>
      <c r="B81" s="472" t="s">
        <v>142</v>
      </c>
      <c r="C81" s="478">
        <v>60.4</v>
      </c>
      <c r="D81" s="468">
        <v>78.47</v>
      </c>
      <c r="E81" s="468">
        <v>55</v>
      </c>
      <c r="K81" s="469">
        <f t="shared" si="11"/>
        <v>100</v>
      </c>
      <c r="L81" s="497">
        <f t="shared" si="12"/>
        <v>100</v>
      </c>
      <c r="M81" s="500">
        <f t="shared" si="9"/>
        <v>0</v>
      </c>
      <c r="N81" s="477" t="str">
        <f t="shared" si="10"/>
        <v/>
      </c>
      <c r="O81" s="470"/>
      <c r="P81" s="471"/>
      <c r="Q81" s="4"/>
      <c r="R81" s="4"/>
      <c r="S81" s="4"/>
    </row>
    <row r="82" spans="1:19" x14ac:dyDescent="0.25">
      <c r="A82" s="907">
        <v>5345</v>
      </c>
      <c r="B82" s="472" t="s">
        <v>143</v>
      </c>
      <c r="C82" s="476">
        <v>50.81</v>
      </c>
      <c r="D82" s="468">
        <v>237.71</v>
      </c>
      <c r="E82" s="468">
        <v>835.56</v>
      </c>
      <c r="K82" s="469">
        <f t="shared" si="11"/>
        <v>2500</v>
      </c>
      <c r="L82" s="497">
        <f t="shared" si="12"/>
        <v>2500</v>
      </c>
      <c r="M82" s="500">
        <f t="shared" si="9"/>
        <v>0</v>
      </c>
      <c r="N82" s="477" t="str">
        <f t="shared" si="10"/>
        <v/>
      </c>
      <c r="O82" s="470"/>
      <c r="P82" s="471"/>
      <c r="Q82" s="4"/>
      <c r="R82" s="4"/>
      <c r="S82" s="4"/>
    </row>
    <row r="83" spans="1:19" x14ac:dyDescent="0.25">
      <c r="A83" s="907">
        <v>5420</v>
      </c>
      <c r="B83" s="472" t="s">
        <v>144</v>
      </c>
      <c r="C83" s="468">
        <v>965.81</v>
      </c>
      <c r="D83" s="468">
        <v>694.26</v>
      </c>
      <c r="E83" s="468">
        <v>1611.93</v>
      </c>
      <c r="K83" s="469">
        <f t="shared" si="11"/>
        <v>4000</v>
      </c>
      <c r="L83" s="497">
        <f t="shared" si="12"/>
        <v>3500</v>
      </c>
      <c r="M83" s="500">
        <f t="shared" si="9"/>
        <v>-500</v>
      </c>
      <c r="N83" s="477">
        <f t="shared" si="10"/>
        <v>-0.125</v>
      </c>
      <c r="O83" s="470" t="s">
        <v>1359</v>
      </c>
      <c r="P83" s="471"/>
      <c r="Q83" s="4"/>
      <c r="R83" s="4"/>
      <c r="S83" s="4"/>
    </row>
    <row r="84" spans="1:19" x14ac:dyDescent="0.25">
      <c r="A84" s="907">
        <v>5430</v>
      </c>
      <c r="B84" s="472" t="s">
        <v>377</v>
      </c>
      <c r="C84" s="476">
        <v>680.13</v>
      </c>
      <c r="D84" s="468">
        <v>738.74</v>
      </c>
      <c r="E84" s="468">
        <v>671.33</v>
      </c>
      <c r="K84" s="469">
        <f t="shared" si="11"/>
        <v>2500</v>
      </c>
      <c r="L84" s="497">
        <f t="shared" si="12"/>
        <v>2500</v>
      </c>
      <c r="M84" s="500">
        <f t="shared" si="9"/>
        <v>0</v>
      </c>
      <c r="N84" s="477" t="str">
        <f t="shared" si="10"/>
        <v/>
      </c>
      <c r="O84" s="470"/>
      <c r="P84" s="471"/>
      <c r="Q84" s="4"/>
      <c r="R84" s="4"/>
      <c r="S84" s="4"/>
    </row>
    <row r="85" spans="1:19" x14ac:dyDescent="0.25">
      <c r="A85" s="907">
        <v>5432</v>
      </c>
      <c r="B85" s="472" t="s">
        <v>460</v>
      </c>
      <c r="C85" s="476">
        <v>37.119999999999997</v>
      </c>
      <c r="D85" s="468">
        <v>13.95</v>
      </c>
      <c r="E85" s="468"/>
      <c r="K85" s="469">
        <f t="shared" si="11"/>
        <v>0</v>
      </c>
      <c r="L85" s="497">
        <f t="shared" si="12"/>
        <v>0</v>
      </c>
      <c r="M85" s="500">
        <f t="shared" si="9"/>
        <v>0</v>
      </c>
      <c r="N85" s="477" t="str">
        <f t="shared" si="10"/>
        <v/>
      </c>
      <c r="O85" s="470"/>
      <c r="P85" s="471"/>
      <c r="Q85" s="4"/>
      <c r="R85" s="4"/>
      <c r="S85" s="4"/>
    </row>
    <row r="86" spans="1:19" x14ac:dyDescent="0.25">
      <c r="A86" s="907">
        <v>5435</v>
      </c>
      <c r="B86" s="472" t="s">
        <v>376</v>
      </c>
      <c r="C86" s="468">
        <v>2223.06</v>
      </c>
      <c r="D86" s="468">
        <v>1519.3</v>
      </c>
      <c r="E86" s="468">
        <v>2230.3200000000002</v>
      </c>
      <c r="K86" s="469">
        <f t="shared" si="11"/>
        <v>5000</v>
      </c>
      <c r="L86" s="497">
        <f t="shared" si="12"/>
        <v>5000</v>
      </c>
      <c r="M86" s="500">
        <f t="shared" si="9"/>
        <v>0</v>
      </c>
      <c r="N86" s="477" t="str">
        <f t="shared" si="10"/>
        <v/>
      </c>
      <c r="O86" s="470"/>
      <c r="P86" s="471"/>
      <c r="Q86" s="4"/>
      <c r="R86" s="4"/>
      <c r="S86" s="4"/>
    </row>
    <row r="87" spans="1:19" x14ac:dyDescent="0.25">
      <c r="A87" s="907">
        <v>5440</v>
      </c>
      <c r="B87" s="472" t="s">
        <v>207</v>
      </c>
      <c r="C87" s="476">
        <v>4022.66</v>
      </c>
      <c r="D87" s="468">
        <v>4443.3500000000004</v>
      </c>
      <c r="E87" s="468">
        <v>6122.27</v>
      </c>
      <c r="K87" s="469">
        <f t="shared" si="11"/>
        <v>8000</v>
      </c>
      <c r="L87" s="497">
        <f t="shared" si="12"/>
        <v>8000</v>
      </c>
      <c r="M87" s="500">
        <f t="shared" si="9"/>
        <v>0</v>
      </c>
      <c r="N87" s="477" t="str">
        <f t="shared" si="10"/>
        <v/>
      </c>
      <c r="O87" s="470"/>
      <c r="P87" s="471"/>
      <c r="Q87" s="4"/>
      <c r="R87" s="4"/>
      <c r="S87" s="4"/>
    </row>
    <row r="88" spans="1:19" x14ac:dyDescent="0.25">
      <c r="A88" s="907">
        <v>5443</v>
      </c>
      <c r="B88" s="472" t="s">
        <v>201</v>
      </c>
      <c r="C88" s="476">
        <v>16245.85</v>
      </c>
      <c r="D88" s="468">
        <v>20320.52</v>
      </c>
      <c r="E88" s="468">
        <v>16077.74</v>
      </c>
      <c r="K88" s="469">
        <f t="shared" si="11"/>
        <v>39000</v>
      </c>
      <c r="L88" s="497">
        <f t="shared" si="12"/>
        <v>57000</v>
      </c>
      <c r="M88" s="500">
        <f t="shared" si="9"/>
        <v>18000</v>
      </c>
      <c r="N88" s="477">
        <f t="shared" si="10"/>
        <v>0.46150000000000002</v>
      </c>
      <c r="O88" s="470" t="s">
        <v>1359</v>
      </c>
      <c r="P88" s="471"/>
      <c r="Q88" s="4"/>
      <c r="R88" s="4"/>
      <c r="S88" s="4"/>
    </row>
    <row r="89" spans="1:19" x14ac:dyDescent="0.25">
      <c r="A89" s="907">
        <v>5481</v>
      </c>
      <c r="B89" s="472" t="s">
        <v>170</v>
      </c>
      <c r="C89" s="476">
        <v>23072.400000000001</v>
      </c>
      <c r="D89" s="476">
        <v>32924.959999999999</v>
      </c>
      <c r="E89" s="476">
        <v>27697.48</v>
      </c>
      <c r="K89" s="469">
        <f t="shared" si="11"/>
        <v>45000</v>
      </c>
      <c r="L89" s="497">
        <f t="shared" si="12"/>
        <v>45000</v>
      </c>
      <c r="M89" s="500">
        <f t="shared" si="9"/>
        <v>0</v>
      </c>
      <c r="N89" s="477" t="str">
        <f t="shared" si="10"/>
        <v/>
      </c>
      <c r="O89" s="470"/>
      <c r="P89" s="471"/>
      <c r="Q89" s="4"/>
      <c r="R89" s="4"/>
      <c r="S89" s="4"/>
    </row>
    <row r="90" spans="1:19" x14ac:dyDescent="0.25">
      <c r="A90" s="907">
        <v>5482</v>
      </c>
      <c r="B90" s="472" t="s">
        <v>208</v>
      </c>
      <c r="C90" s="476">
        <v>55086.99</v>
      </c>
      <c r="D90" s="476">
        <v>73803.73</v>
      </c>
      <c r="E90" s="476">
        <v>75053.789999999994</v>
      </c>
      <c r="K90" s="469">
        <f t="shared" si="11"/>
        <v>53000</v>
      </c>
      <c r="L90" s="497">
        <f t="shared" si="12"/>
        <v>53000</v>
      </c>
      <c r="M90" s="500">
        <f t="shared" si="9"/>
        <v>0</v>
      </c>
      <c r="N90" s="477" t="str">
        <f t="shared" si="10"/>
        <v/>
      </c>
      <c r="O90" s="470"/>
      <c r="P90" s="471"/>
      <c r="Q90" s="4"/>
      <c r="R90" s="4"/>
      <c r="S90" s="4"/>
    </row>
    <row r="91" spans="1:19" x14ac:dyDescent="0.25">
      <c r="A91" s="907">
        <v>5484</v>
      </c>
      <c r="B91" s="472" t="s">
        <v>335</v>
      </c>
      <c r="C91" s="476">
        <v>41019.53</v>
      </c>
      <c r="D91" s="468">
        <v>46732</v>
      </c>
      <c r="E91" s="468">
        <v>75705.59</v>
      </c>
      <c r="K91" s="469">
        <f t="shared" si="11"/>
        <v>85000</v>
      </c>
      <c r="L91" s="497">
        <f t="shared" si="12"/>
        <v>85000</v>
      </c>
      <c r="M91" s="500">
        <f t="shared" si="9"/>
        <v>0</v>
      </c>
      <c r="N91" s="477" t="str">
        <f t="shared" si="10"/>
        <v/>
      </c>
      <c r="O91" s="470"/>
      <c r="P91" s="471"/>
      <c r="Q91" s="4"/>
      <c r="R91" s="4"/>
      <c r="S91" s="4"/>
    </row>
    <row r="92" spans="1:19" x14ac:dyDescent="0.25">
      <c r="A92" s="907">
        <v>5500</v>
      </c>
      <c r="B92" s="472" t="s">
        <v>171</v>
      </c>
      <c r="C92" s="476"/>
      <c r="D92" s="468"/>
      <c r="E92" s="468">
        <v>11.94</v>
      </c>
      <c r="K92" s="469">
        <f t="shared" si="11"/>
        <v>150</v>
      </c>
      <c r="L92" s="497">
        <f t="shared" si="12"/>
        <v>150</v>
      </c>
      <c r="M92" s="500">
        <f t="shared" si="9"/>
        <v>0</v>
      </c>
      <c r="N92" s="477" t="str">
        <f t="shared" si="10"/>
        <v/>
      </c>
      <c r="O92" s="470"/>
      <c r="P92" s="471"/>
      <c r="Q92" s="4"/>
      <c r="R92" s="4"/>
      <c r="S92" s="4"/>
    </row>
    <row r="93" spans="1:19" x14ac:dyDescent="0.25">
      <c r="A93" s="907">
        <v>5530</v>
      </c>
      <c r="B93" s="472" t="s">
        <v>209</v>
      </c>
      <c r="C93" s="476">
        <v>43029.4</v>
      </c>
      <c r="D93" s="468">
        <v>45445.69</v>
      </c>
      <c r="E93" s="468">
        <v>36322.94</v>
      </c>
      <c r="K93" s="469">
        <f t="shared" si="11"/>
        <v>55000</v>
      </c>
      <c r="L93" s="497">
        <f t="shared" si="12"/>
        <v>71500</v>
      </c>
      <c r="M93" s="500">
        <f t="shared" si="9"/>
        <v>16500</v>
      </c>
      <c r="N93" s="477">
        <f t="shared" si="10"/>
        <v>0.3</v>
      </c>
      <c r="O93" s="470" t="s">
        <v>1761</v>
      </c>
      <c r="P93" s="471"/>
      <c r="Q93" s="4"/>
      <c r="R93" s="4"/>
      <c r="S93" s="4"/>
    </row>
    <row r="94" spans="1:19" hidden="1" x14ac:dyDescent="0.25">
      <c r="A94" s="907">
        <v>5534</v>
      </c>
      <c r="B94" s="472" t="s">
        <v>210</v>
      </c>
      <c r="C94" s="476">
        <v>125</v>
      </c>
      <c r="D94" s="468"/>
      <c r="E94" s="468"/>
      <c r="K94" s="469">
        <f t="shared" si="11"/>
        <v>0</v>
      </c>
      <c r="L94" s="497">
        <f t="shared" si="12"/>
        <v>0</v>
      </c>
      <c r="M94" s="500">
        <f t="shared" si="9"/>
        <v>0</v>
      </c>
      <c r="N94" s="477" t="str">
        <f t="shared" si="10"/>
        <v/>
      </c>
      <c r="O94" s="470"/>
      <c r="P94" s="471"/>
      <c r="Q94" s="4"/>
      <c r="R94" s="4"/>
      <c r="S94" s="4"/>
    </row>
    <row r="95" spans="1:19" hidden="1" x14ac:dyDescent="0.25">
      <c r="A95" s="907">
        <v>5580</v>
      </c>
      <c r="B95" s="472" t="s">
        <v>1001</v>
      </c>
      <c r="C95" s="476"/>
      <c r="D95" s="468"/>
      <c r="E95" s="468"/>
      <c r="K95" s="469">
        <f t="shared" si="11"/>
        <v>0</v>
      </c>
      <c r="L95" s="497">
        <f t="shared" si="12"/>
        <v>0</v>
      </c>
      <c r="M95" s="500">
        <f t="shared" si="9"/>
        <v>0</v>
      </c>
      <c r="N95" s="477"/>
      <c r="O95" s="470"/>
      <c r="P95" s="471"/>
      <c r="Q95" s="4"/>
      <c r="R95" s="4"/>
      <c r="S95" s="4"/>
    </row>
    <row r="96" spans="1:19" x14ac:dyDescent="0.25">
      <c r="A96" s="907">
        <v>5582</v>
      </c>
      <c r="B96" s="472" t="s">
        <v>173</v>
      </c>
      <c r="C96" s="476">
        <v>2596.34</v>
      </c>
      <c r="D96" s="468">
        <v>2080.9699999999998</v>
      </c>
      <c r="E96" s="468">
        <v>3880.7</v>
      </c>
      <c r="K96" s="469">
        <f t="shared" si="11"/>
        <v>14000</v>
      </c>
      <c r="L96" s="497">
        <f t="shared" si="12"/>
        <v>14000</v>
      </c>
      <c r="M96" s="500">
        <f t="shared" si="9"/>
        <v>0</v>
      </c>
      <c r="N96" s="477" t="str">
        <f t="shared" ref="N96:N101" si="13">IF(K96+L96&lt;&gt;0,IF(K96&lt;&gt;0,IF(M96&lt;&gt;0,ROUND((+M96/K96),4),""),1),"")</f>
        <v/>
      </c>
      <c r="O96" s="470"/>
      <c r="P96" s="471"/>
      <c r="Q96" s="4"/>
      <c r="R96" s="4"/>
      <c r="S96" s="4"/>
    </row>
    <row r="97" spans="1:19" x14ac:dyDescent="0.25">
      <c r="A97" s="907">
        <v>5588</v>
      </c>
      <c r="B97" s="501" t="s">
        <v>214</v>
      </c>
      <c r="C97" s="476"/>
      <c r="D97" s="468"/>
      <c r="E97" s="468"/>
      <c r="K97" s="469">
        <f t="shared" si="11"/>
        <v>1000</v>
      </c>
      <c r="L97" s="497">
        <f t="shared" si="12"/>
        <v>500</v>
      </c>
      <c r="M97" s="500">
        <f t="shared" si="9"/>
        <v>-500</v>
      </c>
      <c r="N97" s="477">
        <f t="shared" si="13"/>
        <v>-0.5</v>
      </c>
      <c r="O97" s="470" t="s">
        <v>1762</v>
      </c>
      <c r="P97" s="471"/>
      <c r="Q97" s="4"/>
      <c r="R97" s="4"/>
      <c r="S97" s="4"/>
    </row>
    <row r="98" spans="1:19" x14ac:dyDescent="0.25">
      <c r="A98" s="907">
        <v>5710</v>
      </c>
      <c r="B98" s="472" t="s">
        <v>535</v>
      </c>
      <c r="C98" s="481">
        <v>44.78</v>
      </c>
      <c r="D98" s="468">
        <v>22.6</v>
      </c>
      <c r="E98" s="468"/>
      <c r="K98" s="469">
        <f t="shared" si="11"/>
        <v>125</v>
      </c>
      <c r="L98" s="497">
        <f t="shared" si="12"/>
        <v>125</v>
      </c>
      <c r="M98" s="500">
        <f t="shared" si="9"/>
        <v>0</v>
      </c>
      <c r="N98" s="477" t="str">
        <f t="shared" si="13"/>
        <v/>
      </c>
      <c r="O98" s="470"/>
      <c r="P98" s="471"/>
      <c r="Q98" s="4"/>
      <c r="R98" s="4"/>
      <c r="S98" s="4"/>
    </row>
    <row r="99" spans="1:19" x14ac:dyDescent="0.25">
      <c r="A99" s="907">
        <v>5730</v>
      </c>
      <c r="B99" s="472" t="s">
        <v>147</v>
      </c>
      <c r="C99" s="478">
        <v>361</v>
      </c>
      <c r="D99" s="468">
        <v>233</v>
      </c>
      <c r="E99" s="468">
        <v>381</v>
      </c>
      <c r="K99" s="469">
        <f t="shared" si="11"/>
        <v>500</v>
      </c>
      <c r="L99" s="497">
        <f t="shared" si="12"/>
        <v>500</v>
      </c>
      <c r="M99" s="500">
        <f t="shared" si="9"/>
        <v>0</v>
      </c>
      <c r="N99" s="477" t="str">
        <f t="shared" si="13"/>
        <v/>
      </c>
      <c r="O99" s="470"/>
      <c r="P99" s="471"/>
      <c r="Q99" s="4"/>
      <c r="R99" s="4"/>
      <c r="S99" s="4"/>
    </row>
    <row r="100" spans="1:19" ht="13.8" thickBot="1" x14ac:dyDescent="0.3">
      <c r="A100" s="914">
        <v>5783</v>
      </c>
      <c r="B100" s="501" t="s">
        <v>205</v>
      </c>
      <c r="C100" s="474">
        <v>780</v>
      </c>
      <c r="D100" s="474">
        <v>1710</v>
      </c>
      <c r="E100" s="474">
        <v>1440</v>
      </c>
      <c r="K100" s="469">
        <f>+M49</f>
        <v>1500</v>
      </c>
      <c r="L100" s="497">
        <f>+O49</f>
        <v>1500</v>
      </c>
      <c r="M100" s="500">
        <f t="shared" si="9"/>
        <v>0</v>
      </c>
      <c r="N100" s="477" t="str">
        <f t="shared" si="13"/>
        <v/>
      </c>
      <c r="O100" s="470"/>
      <c r="P100" s="471"/>
      <c r="Q100" s="4"/>
      <c r="R100" s="4"/>
      <c r="S100" s="4"/>
    </row>
    <row r="101" spans="1:19" ht="13.8" thickBot="1" x14ac:dyDescent="0.3">
      <c r="A101" s="914">
        <v>5800</v>
      </c>
      <c r="B101" s="501" t="s">
        <v>1643</v>
      </c>
      <c r="C101" s="474">
        <v>780</v>
      </c>
      <c r="D101" s="474">
        <v>1710</v>
      </c>
      <c r="E101" s="474">
        <v>1440</v>
      </c>
      <c r="K101" s="469">
        <f>+M52</f>
        <v>21321</v>
      </c>
      <c r="L101" s="497">
        <f>+O52</f>
        <v>0</v>
      </c>
      <c r="M101" s="500">
        <f t="shared" ref="M101" si="14">+L101-K101</f>
        <v>-21321</v>
      </c>
      <c r="N101" s="477">
        <f t="shared" si="13"/>
        <v>-1</v>
      </c>
      <c r="O101" s="470" t="s">
        <v>1763</v>
      </c>
      <c r="P101" s="471"/>
      <c r="Q101" s="4"/>
      <c r="R101" s="4"/>
      <c r="S101" s="4"/>
    </row>
    <row r="102" spans="1:19" x14ac:dyDescent="0.25">
      <c r="A102" s="876"/>
      <c r="B102" s="4"/>
      <c r="C102" s="23"/>
      <c r="D102" s="23"/>
      <c r="E102" s="23"/>
      <c r="F102" s="23"/>
      <c r="G102" s="23"/>
      <c r="K102" s="23"/>
      <c r="L102" s="23"/>
      <c r="M102" s="23"/>
      <c r="N102" s="4"/>
      <c r="O102" s="23"/>
      <c r="P102" s="23"/>
      <c r="Q102" s="4"/>
      <c r="R102" s="4"/>
      <c r="S102" s="4"/>
    </row>
    <row r="103" spans="1:19" x14ac:dyDescent="0.25">
      <c r="A103" s="876"/>
      <c r="B103" s="4" t="s">
        <v>1363</v>
      </c>
      <c r="C103" s="23"/>
      <c r="D103" s="23"/>
      <c r="E103" s="23"/>
      <c r="F103" s="23"/>
      <c r="G103" s="23"/>
      <c r="K103" s="742">
        <f>SUM(K63:K101)</f>
        <v>1164708</v>
      </c>
      <c r="L103" s="742">
        <f>SUM(L63:L101)</f>
        <v>1175166</v>
      </c>
      <c r="M103" s="202">
        <f>+L103-K103</f>
        <v>10458</v>
      </c>
      <c r="N103" s="743">
        <f>IF(K103+L103&lt;&gt;0,IF(K103&lt;&gt;0,IF(M103&lt;&gt;0,ROUND((+M103/K103),4),""),1),"")</f>
        <v>8.9999999999999993E-3</v>
      </c>
      <c r="O103" s="23"/>
      <c r="P103" s="23"/>
      <c r="Q103" s="4"/>
      <c r="R103" s="4"/>
      <c r="S103" s="4"/>
    </row>
    <row r="104" spans="1:19" x14ac:dyDescent="0.25">
      <c r="A104" s="876"/>
      <c r="B104" s="4"/>
      <c r="C104" s="23"/>
      <c r="D104" s="23"/>
      <c r="E104" s="23"/>
      <c r="F104" s="23"/>
      <c r="G104" s="23"/>
      <c r="H104" s="23"/>
      <c r="I104" s="23"/>
      <c r="J104" s="23"/>
      <c r="K104" s="23"/>
      <c r="L104" s="23"/>
      <c r="M104" s="23"/>
      <c r="N104" s="4"/>
      <c r="O104" s="23"/>
      <c r="P104" s="23"/>
      <c r="Q104" s="4"/>
      <c r="R104" s="4"/>
      <c r="S104" s="4"/>
    </row>
    <row r="105" spans="1:19" x14ac:dyDescent="0.25">
      <c r="A105" s="876"/>
      <c r="B105" s="4"/>
      <c r="C105" s="23"/>
      <c r="D105" s="23"/>
      <c r="E105" s="23"/>
      <c r="F105" s="23"/>
      <c r="G105" s="23"/>
      <c r="H105" s="23"/>
      <c r="I105" s="23"/>
      <c r="J105" s="23"/>
      <c r="K105" s="23"/>
      <c r="L105" s="23"/>
      <c r="M105" s="23"/>
      <c r="N105" s="4"/>
      <c r="O105" s="23"/>
      <c r="P105" s="23"/>
      <c r="Q105" s="4"/>
      <c r="R105" s="4"/>
      <c r="S105" s="4"/>
    </row>
    <row r="106" spans="1:19" x14ac:dyDescent="0.25">
      <c r="A106" s="876"/>
      <c r="B106" s="4"/>
      <c r="C106" s="23"/>
      <c r="D106" s="23"/>
      <c r="E106" s="23"/>
      <c r="F106" s="23"/>
      <c r="G106" s="23"/>
      <c r="H106" s="23"/>
      <c r="I106" s="23"/>
      <c r="J106" s="23"/>
      <c r="K106" s="23"/>
      <c r="L106" s="23"/>
      <c r="M106" s="23"/>
      <c r="N106" s="4"/>
      <c r="O106" s="23"/>
      <c r="P106" s="23"/>
      <c r="Q106" s="4"/>
      <c r="R106" s="4"/>
      <c r="S106" s="4"/>
    </row>
    <row r="107" spans="1:19" x14ac:dyDescent="0.25">
      <c r="A107" s="876"/>
      <c r="B107" s="4"/>
      <c r="C107" s="23"/>
      <c r="D107" s="23"/>
      <c r="E107" s="23"/>
      <c r="F107" s="23"/>
      <c r="G107" s="23"/>
      <c r="H107" s="23"/>
      <c r="I107" s="23"/>
      <c r="J107" s="23"/>
      <c r="K107" s="23"/>
      <c r="L107" s="23"/>
      <c r="M107" s="23"/>
      <c r="N107" s="4"/>
      <c r="O107" s="23"/>
      <c r="P107" s="23"/>
      <c r="Q107" s="4"/>
      <c r="R107" s="4"/>
      <c r="S107" s="4"/>
    </row>
    <row r="108" spans="1:19" x14ac:dyDescent="0.25">
      <c r="A108" s="876"/>
      <c r="B108" s="4"/>
      <c r="C108" s="23"/>
      <c r="D108" s="23"/>
      <c r="E108" s="23"/>
      <c r="F108" s="23"/>
      <c r="G108" s="23"/>
      <c r="H108" s="23"/>
      <c r="I108" s="23"/>
      <c r="J108" s="23"/>
      <c r="K108" s="23"/>
      <c r="L108" s="23"/>
      <c r="M108" s="23"/>
      <c r="N108" s="4"/>
      <c r="O108" s="23"/>
      <c r="P108" s="23"/>
      <c r="Q108" s="4"/>
      <c r="R108" s="4"/>
      <c r="S108" s="4"/>
    </row>
    <row r="109" spans="1:19" x14ac:dyDescent="0.25">
      <c r="A109" s="876"/>
      <c r="B109" s="4"/>
      <c r="C109" s="23"/>
      <c r="D109" s="23"/>
      <c r="E109" s="23"/>
      <c r="F109" s="23"/>
      <c r="G109" s="23"/>
      <c r="H109" s="23"/>
      <c r="I109" s="23"/>
      <c r="J109" s="23"/>
      <c r="K109" s="23"/>
      <c r="L109" s="23"/>
      <c r="M109" s="23"/>
      <c r="N109" s="4"/>
      <c r="O109" s="23"/>
      <c r="P109" s="23"/>
      <c r="Q109" s="4"/>
      <c r="R109" s="4"/>
      <c r="S109" s="4"/>
    </row>
    <row r="110" spans="1:19" x14ac:dyDescent="0.25">
      <c r="A110" s="876"/>
      <c r="B110" s="4"/>
      <c r="C110" s="23"/>
      <c r="D110" s="23"/>
      <c r="E110" s="23"/>
      <c r="F110" s="23"/>
      <c r="G110" s="23"/>
      <c r="H110" s="23"/>
      <c r="I110" s="23"/>
      <c r="J110" s="23"/>
      <c r="K110" s="23"/>
      <c r="L110" s="23"/>
      <c r="M110" s="23"/>
      <c r="N110" s="4"/>
      <c r="O110" s="23"/>
      <c r="P110" s="23"/>
      <c r="Q110" s="4"/>
      <c r="R110" s="4"/>
      <c r="S110" s="4"/>
    </row>
    <row r="111" spans="1:19" x14ac:dyDescent="0.25">
      <c r="A111" s="876"/>
      <c r="B111" s="4"/>
      <c r="C111" s="23"/>
      <c r="D111" s="23"/>
      <c r="E111" s="23"/>
      <c r="F111" s="23"/>
      <c r="G111" s="23"/>
      <c r="H111" s="23"/>
      <c r="I111" s="23"/>
      <c r="J111" s="23"/>
      <c r="K111" s="23"/>
      <c r="L111" s="23"/>
      <c r="M111" s="23"/>
      <c r="N111" s="4"/>
      <c r="O111" s="23"/>
      <c r="P111" s="23"/>
      <c r="Q111" s="4"/>
      <c r="R111" s="4"/>
      <c r="S111" s="4"/>
    </row>
    <row r="112" spans="1:19" x14ac:dyDescent="0.25">
      <c r="A112" s="876"/>
      <c r="B112" s="4"/>
      <c r="C112" s="23"/>
      <c r="D112" s="23"/>
      <c r="E112" s="23"/>
      <c r="F112" s="23"/>
      <c r="G112" s="23"/>
      <c r="H112" s="23"/>
      <c r="I112" s="23"/>
      <c r="J112" s="23"/>
      <c r="K112" s="23"/>
      <c r="L112" s="23"/>
      <c r="M112" s="23"/>
      <c r="N112" s="4"/>
      <c r="O112" s="23"/>
      <c r="P112" s="23"/>
      <c r="Q112" s="4"/>
      <c r="R112" s="4"/>
      <c r="S112" s="4"/>
    </row>
    <row r="113" spans="1:19" x14ac:dyDescent="0.25">
      <c r="A113" s="876"/>
      <c r="B113" s="4"/>
      <c r="C113" s="23"/>
      <c r="D113" s="23"/>
      <c r="E113" s="23"/>
      <c r="F113" s="23"/>
      <c r="G113" s="23"/>
      <c r="H113" s="23"/>
      <c r="I113" s="23"/>
      <c r="J113" s="23"/>
      <c r="K113" s="23"/>
      <c r="L113" s="23"/>
      <c r="M113" s="23"/>
      <c r="N113" s="4"/>
      <c r="O113" s="23"/>
      <c r="P113" s="23"/>
      <c r="Q113" s="4"/>
      <c r="R113" s="4"/>
      <c r="S113" s="4"/>
    </row>
    <row r="114" spans="1:19" x14ac:dyDescent="0.25">
      <c r="A114" s="876"/>
      <c r="B114" s="4"/>
      <c r="C114" s="23"/>
      <c r="D114" s="23"/>
      <c r="E114" s="23"/>
      <c r="F114" s="23"/>
      <c r="G114" s="23"/>
      <c r="H114" s="23"/>
      <c r="I114" s="23"/>
      <c r="J114" s="23"/>
      <c r="K114" s="23"/>
      <c r="L114" s="23"/>
      <c r="M114" s="23"/>
      <c r="N114" s="4"/>
      <c r="O114" s="23"/>
      <c r="P114" s="23"/>
      <c r="Q114" s="4"/>
      <c r="R114" s="4"/>
      <c r="S114" s="4"/>
    </row>
    <row r="115" spans="1:19" x14ac:dyDescent="0.25">
      <c r="A115" s="876"/>
      <c r="B115" s="4"/>
      <c r="C115" s="23"/>
      <c r="D115" s="23"/>
      <c r="E115" s="23"/>
      <c r="F115" s="23"/>
      <c r="G115" s="23"/>
      <c r="H115" s="23"/>
      <c r="I115" s="23"/>
      <c r="J115" s="23"/>
      <c r="K115" s="23"/>
      <c r="L115" s="23"/>
      <c r="M115" s="23"/>
      <c r="N115" s="4"/>
      <c r="O115" s="23"/>
      <c r="P115" s="23"/>
      <c r="Q115" s="4"/>
      <c r="R115" s="4"/>
      <c r="S115" s="4"/>
    </row>
    <row r="116" spans="1:19" x14ac:dyDescent="0.25">
      <c r="A116" s="876"/>
      <c r="B116" s="4"/>
      <c r="C116" s="23"/>
      <c r="D116" s="23"/>
      <c r="E116" s="23"/>
      <c r="F116" s="23"/>
      <c r="G116" s="23"/>
      <c r="H116" s="23"/>
      <c r="I116" s="23"/>
      <c r="J116" s="23"/>
      <c r="K116" s="23"/>
      <c r="L116" s="23"/>
      <c r="M116" s="23"/>
      <c r="N116" s="4"/>
      <c r="O116" s="23"/>
      <c r="P116" s="23"/>
      <c r="Q116" s="4"/>
      <c r="R116" s="4"/>
      <c r="S116" s="4"/>
    </row>
    <row r="117" spans="1:19" x14ac:dyDescent="0.25">
      <c r="A117" s="876"/>
      <c r="B117" s="4"/>
      <c r="C117" s="23"/>
      <c r="D117" s="23"/>
      <c r="E117" s="23"/>
      <c r="F117" s="23"/>
      <c r="G117" s="23"/>
      <c r="H117" s="23"/>
      <c r="I117" s="23"/>
      <c r="J117" s="23"/>
      <c r="K117" s="23"/>
      <c r="L117" s="23"/>
      <c r="M117" s="23"/>
      <c r="N117" s="4"/>
      <c r="O117" s="23"/>
      <c r="P117" s="23"/>
      <c r="Q117" s="4"/>
      <c r="R117" s="4"/>
      <c r="S117" s="4"/>
    </row>
    <row r="118" spans="1:19" x14ac:dyDescent="0.25">
      <c r="A118" s="876"/>
      <c r="B118" s="4"/>
      <c r="C118" s="23"/>
      <c r="D118" s="23"/>
      <c r="E118" s="23"/>
      <c r="F118" s="23"/>
      <c r="G118" s="23"/>
      <c r="H118" s="23"/>
      <c r="I118" s="23"/>
      <c r="J118" s="23"/>
      <c r="K118" s="23"/>
      <c r="L118" s="23"/>
      <c r="M118" s="23"/>
      <c r="N118" s="4"/>
      <c r="O118" s="23"/>
      <c r="P118" s="23"/>
      <c r="Q118" s="4"/>
      <c r="R118" s="4"/>
      <c r="S118" s="4"/>
    </row>
    <row r="119" spans="1:19" x14ac:dyDescent="0.25">
      <c r="A119" s="876"/>
      <c r="B119" s="4"/>
      <c r="C119" s="23"/>
      <c r="D119" s="23"/>
      <c r="E119" s="23"/>
      <c r="F119" s="23"/>
      <c r="G119" s="23"/>
      <c r="H119" s="23"/>
      <c r="I119" s="23"/>
      <c r="J119" s="23"/>
      <c r="K119" s="23"/>
      <c r="L119" s="23"/>
      <c r="M119" s="23"/>
      <c r="N119" s="4"/>
      <c r="O119" s="23"/>
      <c r="P119" s="23"/>
      <c r="Q119" s="4"/>
      <c r="R119" s="4"/>
      <c r="S119" s="4"/>
    </row>
    <row r="120" spans="1:19" x14ac:dyDescent="0.25">
      <c r="A120" s="876"/>
      <c r="B120" s="4"/>
      <c r="C120" s="23"/>
      <c r="D120" s="23"/>
      <c r="E120" s="23"/>
      <c r="F120" s="23"/>
      <c r="G120" s="23"/>
      <c r="H120" s="23"/>
      <c r="I120" s="23"/>
      <c r="J120" s="23"/>
      <c r="K120" s="23"/>
      <c r="L120" s="23"/>
      <c r="M120" s="23"/>
      <c r="N120" s="4"/>
      <c r="O120" s="23"/>
      <c r="P120" s="23"/>
      <c r="Q120" s="4"/>
      <c r="R120" s="4"/>
      <c r="S120" s="4"/>
    </row>
    <row r="121" spans="1:19" x14ac:dyDescent="0.25">
      <c r="A121" s="876"/>
      <c r="B121" s="4"/>
      <c r="C121" s="23"/>
      <c r="D121" s="23"/>
      <c r="E121" s="23"/>
      <c r="F121" s="23"/>
      <c r="G121" s="23"/>
      <c r="H121" s="23"/>
      <c r="I121" s="23"/>
      <c r="J121" s="23"/>
      <c r="K121" s="23"/>
      <c r="L121" s="23"/>
      <c r="M121" s="23"/>
      <c r="N121" s="4"/>
      <c r="O121" s="23"/>
      <c r="P121" s="23"/>
      <c r="Q121" s="4"/>
      <c r="R121" s="4"/>
      <c r="S121" s="4"/>
    </row>
    <row r="122" spans="1:19" x14ac:dyDescent="0.25">
      <c r="A122" s="876"/>
      <c r="B122" s="4"/>
      <c r="C122" s="23"/>
      <c r="D122" s="23"/>
      <c r="E122" s="23"/>
      <c r="F122" s="23"/>
      <c r="G122" s="23"/>
      <c r="H122" s="23"/>
      <c r="I122" s="23"/>
      <c r="J122" s="23"/>
      <c r="K122" s="23"/>
      <c r="L122" s="23"/>
      <c r="M122" s="23"/>
      <c r="N122" s="4"/>
      <c r="O122" s="23"/>
      <c r="P122" s="23"/>
      <c r="Q122" s="4"/>
      <c r="R122" s="4"/>
      <c r="S122" s="4"/>
    </row>
    <row r="123" spans="1:19" x14ac:dyDescent="0.25">
      <c r="A123" s="876"/>
      <c r="B123" s="4"/>
      <c r="C123" s="23"/>
      <c r="D123" s="23"/>
      <c r="E123" s="23"/>
      <c r="F123" s="23"/>
      <c r="G123" s="23"/>
      <c r="H123" s="23"/>
      <c r="I123" s="23"/>
      <c r="J123" s="23"/>
      <c r="K123" s="23"/>
      <c r="L123" s="23"/>
      <c r="M123" s="23"/>
      <c r="N123" s="4"/>
      <c r="O123" s="23"/>
      <c r="P123" s="23"/>
      <c r="Q123" s="4"/>
      <c r="R123" s="4"/>
      <c r="S123" s="4"/>
    </row>
    <row r="124" spans="1:19" x14ac:dyDescent="0.25">
      <c r="A124" s="876"/>
      <c r="B124" s="4"/>
      <c r="C124" s="23"/>
      <c r="D124" s="23"/>
      <c r="E124" s="23"/>
      <c r="F124" s="23"/>
      <c r="G124" s="23"/>
      <c r="H124" s="23"/>
      <c r="I124" s="23"/>
      <c r="J124" s="23"/>
      <c r="K124" s="23"/>
      <c r="L124" s="23"/>
      <c r="M124" s="23"/>
      <c r="N124" s="4"/>
      <c r="O124" s="23"/>
      <c r="P124" s="23"/>
      <c r="Q124" s="4"/>
      <c r="R124" s="4"/>
      <c r="S124" s="4"/>
    </row>
    <row r="125" spans="1:19" x14ac:dyDescent="0.25">
      <c r="A125" s="876"/>
      <c r="B125" s="4"/>
      <c r="C125" s="23"/>
      <c r="D125" s="23"/>
      <c r="E125" s="23"/>
      <c r="F125" s="23"/>
      <c r="G125" s="23"/>
      <c r="H125" s="23"/>
      <c r="I125" s="23"/>
      <c r="J125" s="23"/>
      <c r="K125" s="23"/>
      <c r="L125" s="23"/>
      <c r="M125" s="23"/>
      <c r="N125" s="4"/>
      <c r="O125" s="23"/>
      <c r="P125" s="23"/>
      <c r="Q125" s="4"/>
      <c r="R125" s="4"/>
      <c r="S125" s="4"/>
    </row>
    <row r="126" spans="1:19" x14ac:dyDescent="0.25">
      <c r="A126" s="876"/>
      <c r="B126" s="4"/>
      <c r="C126" s="23"/>
      <c r="D126" s="23"/>
      <c r="E126" s="23"/>
      <c r="F126" s="23"/>
      <c r="G126" s="23"/>
      <c r="H126" s="23"/>
      <c r="I126" s="23"/>
      <c r="J126" s="23"/>
      <c r="K126" s="23"/>
      <c r="L126" s="23"/>
      <c r="M126" s="23"/>
      <c r="N126" s="4"/>
      <c r="O126" s="23"/>
      <c r="P126" s="23"/>
      <c r="Q126" s="4"/>
      <c r="R126" s="4"/>
      <c r="S126" s="4"/>
    </row>
    <row r="127" spans="1:19" x14ac:dyDescent="0.25">
      <c r="A127" s="876"/>
      <c r="B127" s="4"/>
      <c r="C127" s="23"/>
      <c r="D127" s="23"/>
      <c r="E127" s="23"/>
      <c r="F127" s="23"/>
      <c r="G127" s="23"/>
      <c r="H127" s="23"/>
      <c r="I127" s="23"/>
      <c r="J127" s="23"/>
      <c r="K127" s="23"/>
      <c r="L127" s="23"/>
      <c r="M127" s="23"/>
      <c r="N127" s="4"/>
      <c r="O127" s="23"/>
      <c r="P127" s="23"/>
      <c r="Q127" s="4"/>
      <c r="R127" s="4"/>
      <c r="S127" s="4"/>
    </row>
    <row r="128" spans="1:19" x14ac:dyDescent="0.25">
      <c r="A128" s="876"/>
      <c r="B128" s="4"/>
      <c r="C128" s="23"/>
      <c r="D128" s="23"/>
      <c r="E128" s="23"/>
      <c r="F128" s="23"/>
      <c r="G128" s="23"/>
      <c r="H128" s="23"/>
      <c r="I128" s="23"/>
      <c r="J128" s="23"/>
      <c r="K128" s="23"/>
      <c r="L128" s="23"/>
      <c r="M128" s="23"/>
      <c r="N128" s="4"/>
      <c r="O128" s="23"/>
      <c r="P128" s="23"/>
      <c r="Q128" s="4"/>
      <c r="R128" s="4"/>
      <c r="S128" s="4"/>
    </row>
    <row r="129" spans="1:19" x14ac:dyDescent="0.25">
      <c r="A129" s="876"/>
      <c r="B129" s="4"/>
      <c r="C129" s="23"/>
      <c r="D129" s="23"/>
      <c r="E129" s="23"/>
      <c r="F129" s="23"/>
      <c r="G129" s="23"/>
      <c r="H129" s="23"/>
      <c r="I129" s="23"/>
      <c r="J129" s="23"/>
      <c r="K129" s="23"/>
      <c r="L129" s="23"/>
      <c r="M129" s="23"/>
      <c r="N129" s="4"/>
      <c r="O129" s="23"/>
      <c r="P129" s="23"/>
      <c r="Q129" s="4"/>
      <c r="R129" s="4"/>
      <c r="S129" s="4"/>
    </row>
    <row r="130" spans="1:19" x14ac:dyDescent="0.25">
      <c r="A130" s="876"/>
      <c r="B130" s="4"/>
      <c r="C130" s="23"/>
      <c r="D130" s="23"/>
      <c r="E130" s="23"/>
      <c r="F130" s="23"/>
      <c r="G130" s="23"/>
      <c r="H130" s="23"/>
      <c r="I130" s="23"/>
      <c r="J130" s="23"/>
      <c r="K130" s="23"/>
      <c r="L130" s="23"/>
      <c r="M130" s="23"/>
      <c r="N130" s="4"/>
      <c r="O130" s="23"/>
      <c r="P130" s="23"/>
      <c r="Q130" s="4"/>
      <c r="R130" s="4"/>
      <c r="S130" s="4"/>
    </row>
    <row r="131" spans="1:19" x14ac:dyDescent="0.25">
      <c r="A131" s="876"/>
      <c r="B131" s="4"/>
      <c r="C131" s="23"/>
      <c r="D131" s="23"/>
      <c r="E131" s="23"/>
      <c r="F131" s="23"/>
      <c r="G131" s="23"/>
      <c r="H131" s="23"/>
      <c r="I131" s="23"/>
      <c r="J131" s="23"/>
      <c r="K131" s="23"/>
      <c r="L131" s="23"/>
      <c r="M131" s="23"/>
      <c r="N131" s="4"/>
      <c r="O131" s="23"/>
      <c r="P131" s="23"/>
      <c r="Q131" s="4"/>
      <c r="R131" s="4"/>
      <c r="S131" s="4"/>
    </row>
    <row r="132" spans="1:19" x14ac:dyDescent="0.25">
      <c r="C132" s="114"/>
    </row>
    <row r="133" spans="1:19" x14ac:dyDescent="0.25">
      <c r="C133" s="114"/>
    </row>
    <row r="134" spans="1:19" x14ac:dyDescent="0.25">
      <c r="C134" s="114"/>
    </row>
    <row r="135" spans="1:19" x14ac:dyDescent="0.25">
      <c r="C135" s="114"/>
    </row>
    <row r="136" spans="1:19" x14ac:dyDescent="0.25">
      <c r="C136" s="114"/>
    </row>
    <row r="137" spans="1:19" x14ac:dyDescent="0.25">
      <c r="C137" s="114"/>
    </row>
    <row r="138" spans="1:19" x14ac:dyDescent="0.25">
      <c r="C138" s="114"/>
    </row>
    <row r="139" spans="1:19" x14ac:dyDescent="0.25">
      <c r="C139" s="114"/>
    </row>
    <row r="140" spans="1:19" x14ac:dyDescent="0.25">
      <c r="C140" s="114"/>
    </row>
    <row r="141" spans="1:19" x14ac:dyDescent="0.25">
      <c r="C141" s="114"/>
    </row>
    <row r="142" spans="1:19" x14ac:dyDescent="0.25">
      <c r="C142" s="114"/>
    </row>
    <row r="143" spans="1:19" x14ac:dyDescent="0.25">
      <c r="C143" s="114"/>
    </row>
    <row r="144" spans="1:19" x14ac:dyDescent="0.25">
      <c r="C144" s="114"/>
    </row>
    <row r="145" spans="3:3" x14ac:dyDescent="0.25">
      <c r="C145" s="114"/>
    </row>
    <row r="146" spans="3:3" x14ac:dyDescent="0.25">
      <c r="C146" s="114"/>
    </row>
    <row r="147" spans="3:3" x14ac:dyDescent="0.25">
      <c r="C147" s="114"/>
    </row>
    <row r="148" spans="3:3" x14ac:dyDescent="0.25">
      <c r="C148" s="114"/>
    </row>
    <row r="149" spans="3:3" x14ac:dyDescent="0.25">
      <c r="C149" s="114"/>
    </row>
    <row r="150" spans="3:3" x14ac:dyDescent="0.25">
      <c r="C150" s="114"/>
    </row>
    <row r="151" spans="3:3" x14ac:dyDescent="0.25">
      <c r="C151" s="114"/>
    </row>
    <row r="152" spans="3:3" x14ac:dyDescent="0.25">
      <c r="C152" s="114"/>
    </row>
    <row r="153" spans="3:3" x14ac:dyDescent="0.25">
      <c r="C153" s="114"/>
    </row>
    <row r="154" spans="3:3" x14ac:dyDescent="0.25">
      <c r="C154" s="114"/>
    </row>
    <row r="155" spans="3:3" x14ac:dyDescent="0.25">
      <c r="C155" s="114"/>
    </row>
    <row r="156" spans="3:3" x14ac:dyDescent="0.25">
      <c r="C156" s="114"/>
    </row>
    <row r="157" spans="3:3" x14ac:dyDescent="0.25">
      <c r="C157" s="114"/>
    </row>
    <row r="158" spans="3:3" x14ac:dyDescent="0.25">
      <c r="C158" s="114"/>
    </row>
    <row r="159" spans="3:3" x14ac:dyDescent="0.25">
      <c r="C159" s="114"/>
    </row>
    <row r="160" spans="3:3" x14ac:dyDescent="0.25">
      <c r="C160" s="114"/>
    </row>
    <row r="161" spans="3:3" x14ac:dyDescent="0.25">
      <c r="C161" s="114"/>
    </row>
    <row r="162" spans="3:3" x14ac:dyDescent="0.25">
      <c r="C162" s="114"/>
    </row>
    <row r="163" spans="3:3" x14ac:dyDescent="0.25">
      <c r="C163" s="114"/>
    </row>
    <row r="164" spans="3:3" x14ac:dyDescent="0.25">
      <c r="C164" s="114"/>
    </row>
    <row r="165" spans="3:3" x14ac:dyDescent="0.25">
      <c r="C165" s="114"/>
    </row>
    <row r="166" spans="3:3" x14ac:dyDescent="0.25">
      <c r="C166" s="114"/>
    </row>
    <row r="167" spans="3:3" x14ac:dyDescent="0.25">
      <c r="C167" s="114"/>
    </row>
    <row r="168" spans="3:3" x14ac:dyDescent="0.25">
      <c r="C168" s="114"/>
    </row>
    <row r="169" spans="3:3" x14ac:dyDescent="0.25">
      <c r="C169" s="114"/>
    </row>
    <row r="170" spans="3:3" x14ac:dyDescent="0.25">
      <c r="C170" s="114"/>
    </row>
    <row r="171" spans="3:3" x14ac:dyDescent="0.25">
      <c r="C171" s="114"/>
    </row>
    <row r="172" spans="3:3" x14ac:dyDescent="0.25">
      <c r="C172" s="114"/>
    </row>
    <row r="173" spans="3:3" x14ac:dyDescent="0.25">
      <c r="C173" s="114"/>
    </row>
    <row r="174" spans="3:3" x14ac:dyDescent="0.25">
      <c r="C174" s="114"/>
    </row>
    <row r="175" spans="3:3" x14ac:dyDescent="0.25">
      <c r="C175" s="114"/>
    </row>
    <row r="176" spans="3:3" x14ac:dyDescent="0.25">
      <c r="C176" s="114"/>
    </row>
    <row r="177" spans="3:3" x14ac:dyDescent="0.25">
      <c r="C177" s="114"/>
    </row>
    <row r="178" spans="3:3" x14ac:dyDescent="0.25">
      <c r="C178" s="114"/>
    </row>
    <row r="179" spans="3:3" x14ac:dyDescent="0.25">
      <c r="C179" s="114"/>
    </row>
    <row r="180" spans="3:3" x14ac:dyDescent="0.25">
      <c r="C180" s="114"/>
    </row>
  </sheetData>
  <phoneticPr fontId="0" type="noConversion"/>
  <hyperlinks>
    <hyperlink ref="A1" location="'420 DPW'!A1" display="Main 440" xr:uid="{00000000-0004-0000-2400-000000000000}"/>
    <hyperlink ref="B1" location="'Table of Contents'!A1" display="TOC" xr:uid="{00000000-0004-0000-2400-000001000000}"/>
  </hyperlinks>
  <pageMargins left="0.75" right="0.75" top="1" bottom="1" header="0.5" footer="0.5"/>
  <pageSetup fitToHeight="0" orientation="landscape" horizontalDpi="300" verticalDpi="300" r:id="rId1"/>
  <headerFooter alignWithMargins="0">
    <oddFooter>&amp;L&amp;D     &amp;T&amp;C&amp;F&amp;R&amp;A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92D050"/>
    <pageSetUpPr fitToPage="1"/>
  </sheetPr>
  <dimension ref="A1:T176"/>
  <sheetViews>
    <sheetView workbookViewId="0">
      <selection activeCell="P1" sqref="P1:P1048576"/>
    </sheetView>
  </sheetViews>
  <sheetFormatPr defaultRowHeight="13.2" x14ac:dyDescent="0.25"/>
  <cols>
    <col min="1" max="1" width="8.77734375" style="885"/>
    <col min="2" max="2" width="36.6640625" customWidth="1"/>
    <col min="3" max="3" width="14.44140625" style="1" hidden="1" customWidth="1"/>
    <col min="4" max="10" width="14.44140625" style="114" hidden="1" customWidth="1"/>
    <col min="11" max="13" width="14.44140625" style="114" customWidth="1"/>
    <col min="14" max="14" width="14.44140625" customWidth="1"/>
    <col min="15" max="16" width="14.44140625" style="1" customWidth="1"/>
    <col min="17" max="19" width="14.44140625" customWidth="1"/>
    <col min="20" max="20" width="14.6640625" style="2" customWidth="1"/>
  </cols>
  <sheetData>
    <row r="1" spans="1:19" x14ac:dyDescent="0.25">
      <c r="A1" s="874" t="s">
        <v>1022</v>
      </c>
      <c r="B1" s="371" t="s">
        <v>1348</v>
      </c>
      <c r="P1"/>
    </row>
    <row r="2" spans="1:19" ht="13.8" x14ac:dyDescent="0.25">
      <c r="A2" s="875" t="s">
        <v>262</v>
      </c>
      <c r="B2" s="45"/>
      <c r="E2" s="141"/>
      <c r="I2" s="141" t="s">
        <v>257</v>
      </c>
      <c r="J2" s="141"/>
      <c r="K2" s="141"/>
      <c r="L2" s="141"/>
      <c r="M2" s="141"/>
      <c r="N2" s="61" t="s">
        <v>369</v>
      </c>
      <c r="P2" s="46" t="s">
        <v>959</v>
      </c>
      <c r="R2" s="46"/>
    </row>
    <row r="3" spans="1:19" ht="13.8" thickBot="1" x14ac:dyDescent="0.3">
      <c r="A3" s="876"/>
      <c r="B3" s="4"/>
      <c r="C3" s="23"/>
      <c r="D3" s="23"/>
      <c r="E3" s="23"/>
      <c r="F3" s="23"/>
      <c r="G3" s="23"/>
      <c r="H3" s="23"/>
      <c r="I3" s="23"/>
      <c r="J3" s="23"/>
      <c r="K3" s="23"/>
      <c r="L3" s="23"/>
      <c r="M3" s="23"/>
      <c r="N3" s="4"/>
      <c r="O3" s="23"/>
      <c r="P3" s="4"/>
      <c r="R3" s="4"/>
      <c r="S3" s="4"/>
    </row>
    <row r="4" spans="1:19" ht="13.8" thickTop="1" x14ac:dyDescent="0.25">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t="s">
        <v>910</v>
      </c>
    </row>
    <row r="5" spans="1:19" x14ac:dyDescent="0.25">
      <c r="A5" s="878"/>
      <c r="B5" s="209"/>
      <c r="C5" s="127"/>
      <c r="D5" s="87"/>
      <c r="E5" s="113"/>
      <c r="F5" s="87"/>
      <c r="G5" s="87"/>
      <c r="H5" s="113"/>
      <c r="I5" s="290"/>
      <c r="J5" s="290"/>
      <c r="K5" s="290"/>
      <c r="L5" s="290"/>
      <c r="M5" s="290"/>
      <c r="N5" s="113" t="s">
        <v>515</v>
      </c>
      <c r="O5" s="88" t="s">
        <v>7</v>
      </c>
      <c r="P5" s="203" t="s">
        <v>782</v>
      </c>
    </row>
    <row r="6" spans="1:19" x14ac:dyDescent="0.25">
      <c r="A6" s="878"/>
      <c r="B6" s="209"/>
      <c r="C6" s="127"/>
      <c r="D6" s="127"/>
      <c r="E6" s="127"/>
      <c r="F6" s="127"/>
      <c r="G6" s="127"/>
      <c r="H6" s="127"/>
      <c r="I6" s="88"/>
      <c r="J6" s="88"/>
      <c r="K6" s="88"/>
      <c r="L6" s="88"/>
      <c r="M6" s="88"/>
      <c r="N6" s="127"/>
      <c r="O6" s="88" t="s">
        <v>8</v>
      </c>
      <c r="P6" s="47" t="s">
        <v>543</v>
      </c>
    </row>
    <row r="7" spans="1:19"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44561</v>
      </c>
      <c r="O7" s="9" t="s">
        <v>9</v>
      </c>
      <c r="P7" s="9" t="s">
        <v>546</v>
      </c>
    </row>
    <row r="8" spans="1:19" ht="13.8" thickTop="1" x14ac:dyDescent="0.25">
      <c r="A8" s="880"/>
      <c r="B8" s="177"/>
      <c r="C8" s="129"/>
      <c r="D8" s="315"/>
      <c r="E8" s="315"/>
      <c r="F8" s="315"/>
      <c r="G8" s="315"/>
      <c r="H8" s="315"/>
      <c r="I8" s="315"/>
      <c r="J8" s="315"/>
      <c r="K8" s="164"/>
      <c r="L8" s="164"/>
      <c r="M8" s="164"/>
      <c r="N8" s="62"/>
      <c r="O8" s="10"/>
      <c r="P8" s="10"/>
    </row>
    <row r="9" spans="1:19" x14ac:dyDescent="0.25">
      <c r="A9" s="881">
        <v>5112</v>
      </c>
      <c r="B9" s="63" t="s">
        <v>159</v>
      </c>
      <c r="C9" s="405">
        <v>41932.800000000003</v>
      </c>
      <c r="D9" s="13">
        <f>2803.4+57361.7</f>
        <v>60165.1</v>
      </c>
      <c r="E9" s="144">
        <v>81342.8</v>
      </c>
      <c r="F9" s="144">
        <v>83923.6</v>
      </c>
      <c r="G9" s="144">
        <v>121300</v>
      </c>
      <c r="H9" s="144">
        <v>128377.60000000001</v>
      </c>
      <c r="I9" s="13">
        <v>134014.39999999999</v>
      </c>
      <c r="J9" s="13">
        <v>140448</v>
      </c>
      <c r="K9" s="14">
        <v>145004</v>
      </c>
      <c r="L9" s="13">
        <v>142739.15</v>
      </c>
      <c r="M9" s="14">
        <v>148491</v>
      </c>
      <c r="N9" s="13">
        <v>61464.02</v>
      </c>
      <c r="O9" s="122">
        <f>ROUND((+'420 DPW'!N77+'420 DPW'!N78+'420 DPW'!N79+'420 DPW'!N89+'420 DPW'!N90),0)</f>
        <v>136885</v>
      </c>
      <c r="P9" s="14"/>
    </row>
    <row r="10" spans="1:19" x14ac:dyDescent="0.25">
      <c r="A10" s="881">
        <v>5124</v>
      </c>
      <c r="B10" s="63" t="s">
        <v>102</v>
      </c>
      <c r="C10" s="405">
        <v>4630</v>
      </c>
      <c r="D10" s="13">
        <f>65.57+4175</f>
        <v>4240.57</v>
      </c>
      <c r="E10" s="144">
        <v>3855</v>
      </c>
      <c r="F10" s="144">
        <v>5060</v>
      </c>
      <c r="G10" s="144">
        <v>3335</v>
      </c>
      <c r="H10" s="144">
        <v>4303.75</v>
      </c>
      <c r="I10" s="13">
        <v>3720</v>
      </c>
      <c r="J10" s="13">
        <v>9017.6299999999992</v>
      </c>
      <c r="K10" s="14">
        <v>6000</v>
      </c>
      <c r="L10" s="13">
        <v>9774.94</v>
      </c>
      <c r="M10" s="122">
        <v>12000</v>
      </c>
      <c r="N10" s="13">
        <v>4377.38</v>
      </c>
      <c r="O10" s="122">
        <f>7000+12000</f>
        <v>19000</v>
      </c>
      <c r="P10" s="14"/>
    </row>
    <row r="11" spans="1:19" x14ac:dyDescent="0.25">
      <c r="A11" s="881">
        <v>5132</v>
      </c>
      <c r="B11" s="63" t="s">
        <v>86</v>
      </c>
      <c r="C11" s="405">
        <v>3754.23</v>
      </c>
      <c r="D11" s="13">
        <v>1646.91</v>
      </c>
      <c r="E11" s="144">
        <v>1559.88</v>
      </c>
      <c r="F11" s="144">
        <v>2932.54</v>
      </c>
      <c r="G11" s="144">
        <v>3098.86</v>
      </c>
      <c r="H11" s="144">
        <v>1788.23</v>
      </c>
      <c r="I11" s="13">
        <v>3413.58</v>
      </c>
      <c r="J11" s="13">
        <v>4165.6499999999996</v>
      </c>
      <c r="K11" s="14">
        <v>5000</v>
      </c>
      <c r="L11" s="13">
        <v>7423.58</v>
      </c>
      <c r="M11" s="122">
        <v>6000</v>
      </c>
      <c r="N11" s="13">
        <v>801.99</v>
      </c>
      <c r="O11" s="122">
        <v>6250</v>
      </c>
      <c r="P11" s="14"/>
    </row>
    <row r="12" spans="1:19" ht="13.8" thickBot="1" x14ac:dyDescent="0.3">
      <c r="A12" s="881">
        <v>5142</v>
      </c>
      <c r="B12" s="63" t="s">
        <v>164</v>
      </c>
      <c r="C12" s="407">
        <v>3.3</v>
      </c>
      <c r="D12" s="15"/>
      <c r="E12" s="15"/>
      <c r="F12" s="15"/>
      <c r="G12" s="15"/>
      <c r="H12" s="15"/>
      <c r="I12" s="15"/>
      <c r="J12" s="15"/>
      <c r="K12" s="16"/>
      <c r="L12" s="15"/>
      <c r="M12" s="16"/>
      <c r="N12" s="15"/>
      <c r="O12" s="16"/>
      <c r="P12" s="16"/>
    </row>
    <row r="13" spans="1:19" x14ac:dyDescent="0.25">
      <c r="A13" s="881"/>
      <c r="B13" s="64" t="s">
        <v>130</v>
      </c>
      <c r="C13" s="406">
        <f t="shared" ref="C13:N13" si="0">SUM(C9:C12)</f>
        <v>50320.330000000009</v>
      </c>
      <c r="D13" s="18">
        <f t="shared" si="0"/>
        <v>66052.58</v>
      </c>
      <c r="E13" s="18">
        <f t="shared" si="0"/>
        <v>86757.680000000008</v>
      </c>
      <c r="F13" s="18">
        <f>SUM(F9:F12)</f>
        <v>91916.14</v>
      </c>
      <c r="G13" s="18">
        <f>SUM(G9:G12)</f>
        <v>127733.86</v>
      </c>
      <c r="H13" s="18">
        <f>SUM(H9:H12)</f>
        <v>134469.58000000002</v>
      </c>
      <c r="I13" s="18">
        <f t="shared" si="0"/>
        <v>141147.97999999998</v>
      </c>
      <c r="J13" s="18">
        <f t="shared" si="0"/>
        <v>153631.28</v>
      </c>
      <c r="K13" s="19">
        <f>SUM(K9:K12)</f>
        <v>156004</v>
      </c>
      <c r="L13" s="18">
        <f>SUM(L9:L12)</f>
        <v>159937.66999999998</v>
      </c>
      <c r="M13" s="19">
        <f>SUM(M9:M12)</f>
        <v>166491</v>
      </c>
      <c r="N13" s="18">
        <f t="shared" si="0"/>
        <v>66643.39</v>
      </c>
      <c r="O13" s="19">
        <f>SUM(O9:O12)</f>
        <v>162135</v>
      </c>
      <c r="P13" s="19">
        <f>SUM(P9:P12)</f>
        <v>0</v>
      </c>
    </row>
    <row r="14" spans="1:19" x14ac:dyDescent="0.25">
      <c r="A14" s="881"/>
      <c r="B14" s="63"/>
      <c r="C14" s="405"/>
      <c r="D14" s="13"/>
      <c r="E14" s="13"/>
      <c r="F14" s="13"/>
      <c r="G14" s="13"/>
      <c r="H14" s="13"/>
      <c r="I14" s="13"/>
      <c r="J14" s="13"/>
      <c r="K14" s="14"/>
      <c r="L14" s="13"/>
      <c r="M14" s="14"/>
      <c r="N14" s="13"/>
      <c r="O14" s="14"/>
      <c r="P14" s="14"/>
    </row>
    <row r="15" spans="1:19" x14ac:dyDescent="0.25">
      <c r="A15" s="881">
        <v>5315</v>
      </c>
      <c r="B15" s="63" t="s">
        <v>1617</v>
      </c>
      <c r="C15" s="405"/>
      <c r="D15" s="13"/>
      <c r="E15" s="13"/>
      <c r="F15" s="13"/>
      <c r="G15" s="13"/>
      <c r="H15" s="13"/>
      <c r="I15" s="13"/>
      <c r="J15" s="13"/>
      <c r="K15" s="14"/>
      <c r="L15" s="13">
        <v>400</v>
      </c>
      <c r="M15" s="14"/>
      <c r="N15" s="13"/>
      <c r="O15" s="14"/>
      <c r="P15" s="14"/>
    </row>
    <row r="16" spans="1:19" x14ac:dyDescent="0.25">
      <c r="A16" s="881">
        <v>5443</v>
      </c>
      <c r="B16" s="63" t="s">
        <v>201</v>
      </c>
      <c r="C16" s="405">
        <v>4952.8900000000003</v>
      </c>
      <c r="D16" s="13">
        <v>5225.26</v>
      </c>
      <c r="E16" s="144">
        <v>8534.39</v>
      </c>
      <c r="F16" s="144">
        <v>9126.2199999999993</v>
      </c>
      <c r="G16" s="144">
        <v>10174.370000000001</v>
      </c>
      <c r="H16" s="144">
        <v>8223.6</v>
      </c>
      <c r="I16" s="13">
        <v>9133.7099999999991</v>
      </c>
      <c r="J16" s="13">
        <v>5633.89</v>
      </c>
      <c r="K16" s="14">
        <v>9000</v>
      </c>
      <c r="L16" s="13">
        <v>9201.35</v>
      </c>
      <c r="M16" s="14">
        <v>9000</v>
      </c>
      <c r="N16" s="13">
        <v>1854.48</v>
      </c>
      <c r="O16" s="14">
        <v>9000</v>
      </c>
      <c r="P16" s="14"/>
    </row>
    <row r="17" spans="1:19" ht="13.8" thickBot="1" x14ac:dyDescent="0.3">
      <c r="A17" s="881">
        <v>5460</v>
      </c>
      <c r="B17" s="63" t="s">
        <v>203</v>
      </c>
      <c r="C17" s="407">
        <v>512</v>
      </c>
      <c r="D17" s="15">
        <v>2052.3200000000002</v>
      </c>
      <c r="E17" s="15"/>
      <c r="F17" s="15">
        <v>40</v>
      </c>
      <c r="G17" s="15">
        <v>0</v>
      </c>
      <c r="H17" s="15"/>
      <c r="I17" s="15">
        <v>0</v>
      </c>
      <c r="J17" s="15"/>
      <c r="K17" s="16">
        <v>2000</v>
      </c>
      <c r="L17" s="15"/>
      <c r="M17" s="16">
        <v>2000</v>
      </c>
      <c r="N17" s="15"/>
      <c r="O17" s="16">
        <v>2000</v>
      </c>
      <c r="P17" s="16"/>
    </row>
    <row r="18" spans="1:19" x14ac:dyDescent="0.25">
      <c r="A18" s="881"/>
      <c r="B18" s="64" t="s">
        <v>449</v>
      </c>
      <c r="C18" s="132">
        <f t="shared" ref="C18:E18" si="1">SUM(C16:C17)</f>
        <v>5464.89</v>
      </c>
      <c r="D18" s="18">
        <f t="shared" si="1"/>
        <v>7277.58</v>
      </c>
      <c r="E18" s="18">
        <f t="shared" si="1"/>
        <v>8534.39</v>
      </c>
      <c r="F18" s="18">
        <f>SUM(F16:F17)</f>
        <v>9166.2199999999993</v>
      </c>
      <c r="G18" s="18">
        <f>SUM(G16:G17)</f>
        <v>10174.370000000001</v>
      </c>
      <c r="H18" s="18">
        <f>SUM(H16:H17)</f>
        <v>8223.6</v>
      </c>
      <c r="I18" s="18">
        <f t="shared" ref="I18:O18" si="2">SUM(I15:I17)</f>
        <v>9133.7099999999991</v>
      </c>
      <c r="J18" s="18">
        <f t="shared" si="2"/>
        <v>5633.89</v>
      </c>
      <c r="K18" s="19">
        <f t="shared" si="2"/>
        <v>11000</v>
      </c>
      <c r="L18" s="18">
        <f t="shared" si="2"/>
        <v>9601.35</v>
      </c>
      <c r="M18" s="19">
        <f t="shared" si="2"/>
        <v>11000</v>
      </c>
      <c r="N18" s="18">
        <f t="shared" si="2"/>
        <v>1854.48</v>
      </c>
      <c r="O18" s="19">
        <f t="shared" si="2"/>
        <v>11000</v>
      </c>
      <c r="P18" s="19">
        <f>SUM(P16:P17)</f>
        <v>0</v>
      </c>
    </row>
    <row r="19" spans="1:19" x14ac:dyDescent="0.25">
      <c r="A19" s="881"/>
      <c r="B19" s="63"/>
      <c r="C19" s="130"/>
      <c r="D19" s="13"/>
      <c r="E19" s="13"/>
      <c r="F19" s="13"/>
      <c r="G19" s="13"/>
      <c r="H19" s="13"/>
      <c r="I19" s="13"/>
      <c r="J19" s="13"/>
      <c r="K19" s="14"/>
      <c r="L19" s="13"/>
      <c r="M19" s="14"/>
      <c r="N19" s="13"/>
      <c r="O19" s="14"/>
      <c r="P19" s="14"/>
    </row>
    <row r="20" spans="1:19" ht="13.8" thickBot="1" x14ac:dyDescent="0.3">
      <c r="A20" s="882"/>
      <c r="B20" s="20" t="s">
        <v>462</v>
      </c>
      <c r="C20" s="21">
        <f t="shared" ref="C20:O20" si="3">+C18+C13</f>
        <v>55785.220000000008</v>
      </c>
      <c r="D20" s="21">
        <f t="shared" si="3"/>
        <v>73330.16</v>
      </c>
      <c r="E20" s="21">
        <f t="shared" ref="E20:J20" si="4">+E18+E13</f>
        <v>95292.07</v>
      </c>
      <c r="F20" s="21">
        <f t="shared" si="4"/>
        <v>101082.36</v>
      </c>
      <c r="G20" s="21">
        <f t="shared" si="4"/>
        <v>137908.23000000001</v>
      </c>
      <c r="H20" s="21">
        <f t="shared" si="4"/>
        <v>142693.18000000002</v>
      </c>
      <c r="I20" s="21">
        <f t="shared" si="4"/>
        <v>150281.68999999997</v>
      </c>
      <c r="J20" s="21">
        <f t="shared" si="4"/>
        <v>159265.17000000001</v>
      </c>
      <c r="K20" s="22">
        <f t="shared" ref="K20:L20" si="5">+K18+K13</f>
        <v>167004</v>
      </c>
      <c r="L20" s="21">
        <f t="shared" si="5"/>
        <v>169539.02</v>
      </c>
      <c r="M20" s="22">
        <f t="shared" ref="M20" si="6">+M18+M13</f>
        <v>177491</v>
      </c>
      <c r="N20" s="21">
        <f t="shared" si="3"/>
        <v>68497.87</v>
      </c>
      <c r="O20" s="22">
        <f t="shared" si="3"/>
        <v>173135</v>
      </c>
      <c r="P20" s="22">
        <f>+O20</f>
        <v>173135</v>
      </c>
    </row>
    <row r="21" spans="1:19" ht="13.8" thickTop="1" x14ac:dyDescent="0.25">
      <c r="A21" s="66">
        <v>44265</v>
      </c>
      <c r="B21" s="4" t="s">
        <v>1555</v>
      </c>
      <c r="C21" s="23"/>
      <c r="D21" s="23"/>
      <c r="E21" s="23"/>
      <c r="F21" s="23"/>
      <c r="G21" s="23"/>
      <c r="H21" s="23"/>
      <c r="I21" s="23"/>
      <c r="J21" s="23"/>
      <c r="K21" s="23"/>
      <c r="L21" s="23"/>
      <c r="M21" s="23"/>
      <c r="N21" s="27"/>
      <c r="O21" s="23"/>
      <c r="P21" s="23"/>
      <c r="Q21" s="27"/>
      <c r="R21" s="27"/>
      <c r="S21" s="27"/>
    </row>
    <row r="22" spans="1:19" ht="13.8" thickBot="1" x14ac:dyDescent="0.3">
      <c r="A22" s="876"/>
      <c r="B22" s="4"/>
      <c r="C22" s="23"/>
      <c r="D22" s="23"/>
      <c r="E22" s="23"/>
      <c r="F22" s="23"/>
      <c r="G22" s="23"/>
      <c r="H22" s="23"/>
      <c r="I22" s="23"/>
      <c r="J22" s="23"/>
      <c r="K22" s="23"/>
      <c r="L22" s="23"/>
      <c r="M22" s="23"/>
      <c r="N22" s="27"/>
      <c r="O22" s="23"/>
      <c r="P22" s="27"/>
      <c r="Q22" s="27"/>
      <c r="R22" s="27"/>
      <c r="S22" s="27"/>
    </row>
    <row r="23" spans="1:19" ht="13.8" thickTop="1" x14ac:dyDescent="0.25">
      <c r="A23" s="893"/>
      <c r="B23" s="452"/>
      <c r="C23" s="453" t="s">
        <v>127</v>
      </c>
      <c r="D23" s="454" t="s">
        <v>127</v>
      </c>
      <c r="E23" s="454" t="s">
        <v>127</v>
      </c>
      <c r="K23" s="455" t="s">
        <v>547</v>
      </c>
      <c r="L23" s="456" t="s">
        <v>9</v>
      </c>
      <c r="M23" s="457" t="s">
        <v>1073</v>
      </c>
      <c r="N23" s="456" t="s">
        <v>686</v>
      </c>
      <c r="O23" s="458"/>
      <c r="P23" s="457"/>
      <c r="Q23" s="27"/>
      <c r="R23" s="27"/>
      <c r="S23" s="27"/>
    </row>
    <row r="24" spans="1:19" ht="13.8" thickBot="1" x14ac:dyDescent="0.3">
      <c r="A24" s="894" t="s">
        <v>128</v>
      </c>
      <c r="B24" s="459"/>
      <c r="C24" s="460" t="s">
        <v>347</v>
      </c>
      <c r="D24" s="460" t="s">
        <v>722</v>
      </c>
      <c r="E24" s="461" t="s">
        <v>737</v>
      </c>
      <c r="K24" s="462" t="s">
        <v>909</v>
      </c>
      <c r="L24" s="462" t="s">
        <v>910</v>
      </c>
      <c r="M24" s="461" t="s">
        <v>1075</v>
      </c>
      <c r="N24" s="463" t="s">
        <v>1075</v>
      </c>
      <c r="O24" s="464" t="s">
        <v>1074</v>
      </c>
      <c r="P24" s="462"/>
      <c r="Q24" s="27"/>
      <c r="R24" s="27"/>
      <c r="S24" s="27"/>
    </row>
    <row r="25" spans="1:19" ht="13.8" thickTop="1" x14ac:dyDescent="0.25">
      <c r="A25" s="906"/>
      <c r="B25" s="487"/>
      <c r="C25" s="488"/>
      <c r="D25" s="489"/>
      <c r="E25" s="489"/>
      <c r="K25" s="490"/>
      <c r="L25" s="489"/>
      <c r="M25" s="490"/>
      <c r="N25" s="488"/>
      <c r="O25" s="470"/>
      <c r="P25" s="471"/>
      <c r="Q25" s="27"/>
      <c r="R25" s="27"/>
      <c r="S25" s="27"/>
    </row>
    <row r="26" spans="1:19" x14ac:dyDescent="0.25">
      <c r="A26" s="907">
        <v>5112</v>
      </c>
      <c r="B26" s="472" t="s">
        <v>159</v>
      </c>
      <c r="C26" s="476">
        <v>41932.800000000003</v>
      </c>
      <c r="D26" s="476">
        <f>2803.4+57361.7</f>
        <v>60165.1</v>
      </c>
      <c r="E26" s="476">
        <v>81342.8</v>
      </c>
      <c r="K26" s="475">
        <f>+M9</f>
        <v>148491</v>
      </c>
      <c r="L26" s="497">
        <f>+O9</f>
        <v>136885</v>
      </c>
      <c r="M26" s="500">
        <f t="shared" ref="M26:M31" si="7">+L26-K26</f>
        <v>-11606</v>
      </c>
      <c r="N26" s="477">
        <f t="shared" ref="N26:N31" si="8">IF(K26+L26&lt;&gt;0,IF(K26&lt;&gt;0,IF(M26&lt;&gt;0,ROUND((+M26/K26),4),""),1),"")</f>
        <v>-7.8200000000000006E-2</v>
      </c>
      <c r="O26" s="470" t="s">
        <v>1764</v>
      </c>
      <c r="P26" s="471"/>
      <c r="Q26" s="27"/>
      <c r="R26" s="27"/>
      <c r="S26" s="27"/>
    </row>
    <row r="27" spans="1:19" x14ac:dyDescent="0.25">
      <c r="A27" s="907">
        <v>5124</v>
      </c>
      <c r="B27" s="472" t="s">
        <v>102</v>
      </c>
      <c r="C27" s="476">
        <v>4630</v>
      </c>
      <c r="D27" s="476">
        <f>65.57+4175</f>
        <v>4240.57</v>
      </c>
      <c r="E27" s="476">
        <v>3855</v>
      </c>
      <c r="K27" s="475">
        <f>+M10</f>
        <v>12000</v>
      </c>
      <c r="L27" s="497">
        <f>+O10</f>
        <v>19000</v>
      </c>
      <c r="M27" s="500">
        <f t="shared" si="7"/>
        <v>7000</v>
      </c>
      <c r="N27" s="477">
        <f t="shared" si="8"/>
        <v>0.58330000000000004</v>
      </c>
      <c r="O27" s="470" t="s">
        <v>1861</v>
      </c>
      <c r="P27" s="471"/>
      <c r="Q27" s="27"/>
      <c r="R27" s="27"/>
      <c r="S27" s="27"/>
    </row>
    <row r="28" spans="1:19" x14ac:dyDescent="0.25">
      <c r="A28" s="907">
        <v>5132</v>
      </c>
      <c r="B28" s="472" t="s">
        <v>86</v>
      </c>
      <c r="C28" s="476">
        <v>3754.23</v>
      </c>
      <c r="D28" s="476">
        <v>1646.91</v>
      </c>
      <c r="E28" s="476">
        <v>1559.88</v>
      </c>
      <c r="K28" s="475">
        <f>+M11</f>
        <v>6000</v>
      </c>
      <c r="L28" s="497">
        <f>+O11</f>
        <v>6250</v>
      </c>
      <c r="M28" s="500">
        <f t="shared" si="7"/>
        <v>250</v>
      </c>
      <c r="N28" s="477">
        <f t="shared" si="8"/>
        <v>4.1700000000000001E-2</v>
      </c>
      <c r="O28" s="470" t="s">
        <v>1751</v>
      </c>
      <c r="P28" s="471"/>
      <c r="Q28" s="27"/>
      <c r="R28" s="27"/>
      <c r="S28" s="27"/>
    </row>
    <row r="29" spans="1:19" x14ac:dyDescent="0.25">
      <c r="A29" s="907">
        <v>5315</v>
      </c>
      <c r="B29" s="501" t="s">
        <v>442</v>
      </c>
      <c r="C29" s="476"/>
      <c r="D29" s="476"/>
      <c r="E29" s="476"/>
      <c r="K29" s="475">
        <f>+M12</f>
        <v>0</v>
      </c>
      <c r="L29" s="497">
        <f>+O12</f>
        <v>0</v>
      </c>
      <c r="M29" s="500">
        <f t="shared" si="7"/>
        <v>0</v>
      </c>
      <c r="N29" s="477" t="str">
        <f t="shared" si="8"/>
        <v/>
      </c>
      <c r="O29" s="470"/>
      <c r="P29" s="471"/>
      <c r="Q29" s="27"/>
      <c r="R29" s="27"/>
      <c r="S29" s="27"/>
    </row>
    <row r="30" spans="1:19" x14ac:dyDescent="0.25">
      <c r="A30" s="907">
        <v>5443</v>
      </c>
      <c r="B30" s="472" t="s">
        <v>201</v>
      </c>
      <c r="C30" s="476">
        <v>4952.8900000000003</v>
      </c>
      <c r="D30" s="476">
        <v>5225.26</v>
      </c>
      <c r="E30" s="476">
        <v>8534.39</v>
      </c>
      <c r="K30" s="475">
        <f>+M16</f>
        <v>9000</v>
      </c>
      <c r="L30" s="497">
        <f>+O16</f>
        <v>9000</v>
      </c>
      <c r="M30" s="500">
        <f t="shared" si="7"/>
        <v>0</v>
      </c>
      <c r="N30" s="477" t="str">
        <f t="shared" si="8"/>
        <v/>
      </c>
      <c r="O30" s="470"/>
      <c r="P30" s="471"/>
      <c r="Q30" s="27"/>
      <c r="R30" s="27"/>
      <c r="S30" s="27"/>
    </row>
    <row r="31" spans="1:19" ht="13.8" thickBot="1" x14ac:dyDescent="0.3">
      <c r="A31" s="907">
        <v>5460</v>
      </c>
      <c r="B31" s="472" t="s">
        <v>203</v>
      </c>
      <c r="C31" s="474">
        <v>512</v>
      </c>
      <c r="D31" s="474">
        <v>2052.3200000000002</v>
      </c>
      <c r="E31" s="474"/>
      <c r="K31" s="475">
        <f>+M17</f>
        <v>2000</v>
      </c>
      <c r="L31" s="497">
        <f>+O17</f>
        <v>2000</v>
      </c>
      <c r="M31" s="500">
        <f t="shared" si="7"/>
        <v>0</v>
      </c>
      <c r="N31" s="477" t="str">
        <f t="shared" si="8"/>
        <v/>
      </c>
      <c r="O31" s="470"/>
      <c r="P31" s="471"/>
      <c r="Q31" s="27"/>
      <c r="R31" s="27"/>
      <c r="S31" s="27"/>
    </row>
    <row r="32" spans="1:19" x14ac:dyDescent="0.25">
      <c r="A32" s="876"/>
      <c r="B32" s="4"/>
      <c r="C32" s="23"/>
      <c r="D32" s="23"/>
      <c r="E32" s="23"/>
      <c r="F32" s="23"/>
      <c r="G32" s="23"/>
      <c r="K32" s="23"/>
      <c r="L32" s="23"/>
      <c r="M32" s="23"/>
      <c r="N32" s="27"/>
      <c r="O32" s="23"/>
      <c r="P32" s="23"/>
      <c r="Q32" s="27"/>
      <c r="R32" s="27"/>
      <c r="S32" s="27"/>
    </row>
    <row r="33" spans="1:19" x14ac:dyDescent="0.25">
      <c r="A33" s="876"/>
      <c r="B33" s="4" t="s">
        <v>1363</v>
      </c>
      <c r="C33" s="23"/>
      <c r="D33" s="23"/>
      <c r="E33" s="23"/>
      <c r="F33" s="23"/>
      <c r="G33" s="23"/>
      <c r="K33" s="742">
        <f>SUM(K25:K32)</f>
        <v>177491</v>
      </c>
      <c r="L33" s="742">
        <f>SUM(L25:L32)</f>
        <v>173135</v>
      </c>
      <c r="M33" s="202">
        <f>+L33-K33</f>
        <v>-4356</v>
      </c>
      <c r="N33" s="743">
        <f>IF(K33+L33&lt;&gt;0,IF(K33&lt;&gt;0,IF(M33&lt;&gt;0,ROUND((+M33/K33),4),""),1),"")</f>
        <v>-2.4500000000000001E-2</v>
      </c>
      <c r="O33" s="23"/>
      <c r="P33" s="23"/>
      <c r="Q33" s="27"/>
      <c r="R33" s="27"/>
      <c r="S33" s="27"/>
    </row>
    <row r="34" spans="1:19" x14ac:dyDescent="0.25">
      <c r="A34" s="876"/>
      <c r="B34" s="4"/>
      <c r="C34" s="23"/>
      <c r="D34" s="23"/>
      <c r="E34" s="23"/>
      <c r="F34" s="23"/>
      <c r="G34" s="23"/>
      <c r="H34" s="23"/>
      <c r="I34" s="23"/>
      <c r="J34" s="23"/>
      <c r="K34" s="23"/>
      <c r="L34" s="23"/>
      <c r="M34" s="23"/>
      <c r="N34" s="27"/>
      <c r="O34" s="23"/>
      <c r="P34" s="23"/>
      <c r="Q34" s="27"/>
      <c r="R34" s="27"/>
      <c r="S34" s="27"/>
    </row>
    <row r="35" spans="1:19" x14ac:dyDescent="0.25">
      <c r="A35" s="876"/>
      <c r="B35" s="4"/>
      <c r="C35" s="23"/>
      <c r="D35" s="23"/>
      <c r="E35" s="23"/>
      <c r="F35" s="23"/>
      <c r="G35" s="23"/>
      <c r="H35" s="23"/>
      <c r="I35" s="23"/>
      <c r="J35" s="23"/>
      <c r="K35" s="23"/>
      <c r="L35" s="23"/>
      <c r="M35" s="23"/>
      <c r="N35" s="27"/>
      <c r="O35" s="23"/>
      <c r="P35" s="23"/>
      <c r="Q35" s="27"/>
      <c r="R35" s="27"/>
      <c r="S35" s="27"/>
    </row>
    <row r="36" spans="1:19" x14ac:dyDescent="0.25">
      <c r="A36" s="876"/>
      <c r="B36" s="4"/>
      <c r="C36" s="23"/>
      <c r="D36" s="23"/>
      <c r="E36" s="23"/>
      <c r="F36" s="23"/>
      <c r="G36" s="23"/>
      <c r="H36" s="23"/>
      <c r="I36" s="23"/>
      <c r="J36" s="23"/>
      <c r="K36" s="23"/>
      <c r="L36" s="23"/>
      <c r="M36" s="23"/>
      <c r="N36" s="27"/>
      <c r="O36" s="23"/>
      <c r="P36" s="23"/>
      <c r="Q36" s="27"/>
      <c r="R36" s="27"/>
      <c r="S36" s="27"/>
    </row>
    <row r="37" spans="1:19" x14ac:dyDescent="0.25">
      <c r="A37" s="876"/>
      <c r="B37" s="4"/>
      <c r="C37" s="23"/>
      <c r="D37" s="23"/>
      <c r="E37" s="23"/>
      <c r="F37" s="23"/>
      <c r="G37" s="23"/>
      <c r="H37" s="23"/>
      <c r="I37" s="23"/>
      <c r="J37" s="23"/>
      <c r="K37" s="23"/>
      <c r="L37" s="23"/>
      <c r="M37" s="23"/>
      <c r="N37" s="27"/>
      <c r="O37" s="23"/>
      <c r="P37" s="23"/>
      <c r="Q37" s="27"/>
      <c r="R37" s="27"/>
      <c r="S37" s="27"/>
    </row>
    <row r="38" spans="1:19" x14ac:dyDescent="0.25">
      <c r="A38" s="876"/>
      <c r="B38" s="4"/>
      <c r="C38" s="23"/>
      <c r="D38" s="23"/>
      <c r="E38" s="23"/>
      <c r="F38" s="23"/>
      <c r="G38" s="23"/>
      <c r="H38" s="23"/>
      <c r="I38" s="23"/>
      <c r="J38" s="23"/>
      <c r="K38" s="23"/>
      <c r="L38" s="23"/>
      <c r="M38" s="23"/>
      <c r="N38" s="27"/>
      <c r="O38" s="23"/>
      <c r="P38" s="23"/>
      <c r="Q38" s="27"/>
      <c r="R38" s="27"/>
      <c r="S38" s="27"/>
    </row>
    <row r="39" spans="1:19" x14ac:dyDescent="0.25">
      <c r="A39" s="876"/>
      <c r="B39" s="4"/>
      <c r="C39" s="23"/>
      <c r="D39" s="23"/>
      <c r="E39" s="23"/>
      <c r="F39" s="23"/>
      <c r="G39" s="23"/>
      <c r="H39" s="23"/>
      <c r="I39" s="23"/>
      <c r="J39" s="23"/>
      <c r="K39" s="23"/>
      <c r="L39" s="23"/>
      <c r="M39" s="23"/>
      <c r="N39" s="27"/>
      <c r="O39" s="23"/>
      <c r="P39" s="23"/>
      <c r="Q39" s="27"/>
      <c r="R39" s="27"/>
      <c r="S39" s="27"/>
    </row>
    <row r="40" spans="1:19" x14ac:dyDescent="0.25">
      <c r="A40" s="876"/>
      <c r="B40" s="4"/>
      <c r="C40" s="23"/>
      <c r="D40" s="23"/>
      <c r="E40" s="23"/>
      <c r="F40" s="23"/>
      <c r="G40" s="23"/>
      <c r="H40" s="23"/>
      <c r="I40" s="23"/>
      <c r="J40" s="23"/>
      <c r="K40" s="23"/>
      <c r="L40" s="23"/>
      <c r="M40" s="23"/>
      <c r="N40" s="27"/>
      <c r="O40" s="23"/>
      <c r="P40" s="23"/>
      <c r="Q40" s="27"/>
      <c r="R40" s="27"/>
      <c r="S40" s="27"/>
    </row>
    <row r="41" spans="1:19" x14ac:dyDescent="0.25">
      <c r="A41" s="876"/>
      <c r="B41" s="4"/>
      <c r="C41" s="23"/>
      <c r="D41" s="23"/>
      <c r="E41" s="23"/>
      <c r="F41" s="23"/>
      <c r="G41" s="23"/>
      <c r="H41" s="23"/>
      <c r="I41" s="23"/>
      <c r="J41" s="23"/>
      <c r="K41" s="23"/>
      <c r="L41" s="23"/>
      <c r="M41" s="23"/>
      <c r="N41" s="27"/>
      <c r="O41" s="23"/>
      <c r="P41" s="23"/>
      <c r="Q41" s="27"/>
      <c r="R41" s="27"/>
      <c r="S41" s="27"/>
    </row>
    <row r="42" spans="1:19" x14ac:dyDescent="0.25">
      <c r="A42" s="876"/>
      <c r="B42" s="4"/>
      <c r="C42" s="23"/>
      <c r="D42" s="23"/>
      <c r="E42" s="23"/>
      <c r="F42" s="23"/>
      <c r="G42" s="23"/>
      <c r="H42" s="23"/>
      <c r="I42" s="23"/>
      <c r="J42" s="23"/>
      <c r="K42" s="23"/>
      <c r="L42" s="23"/>
      <c r="M42" s="23"/>
      <c r="N42" s="27"/>
      <c r="O42" s="23"/>
      <c r="P42" s="23"/>
      <c r="Q42" s="27"/>
      <c r="R42" s="27"/>
      <c r="S42" s="27"/>
    </row>
    <row r="43" spans="1:19" x14ac:dyDescent="0.25">
      <c r="A43" s="876"/>
      <c r="B43" s="4"/>
      <c r="C43" s="23"/>
      <c r="D43" s="23"/>
      <c r="E43" s="23"/>
      <c r="F43" s="23"/>
      <c r="G43" s="23"/>
      <c r="H43" s="23"/>
      <c r="I43" s="23"/>
      <c r="J43" s="23"/>
      <c r="K43" s="23"/>
      <c r="L43" s="23"/>
      <c r="M43" s="23"/>
      <c r="N43" s="27"/>
      <c r="O43" s="23"/>
      <c r="P43" s="23"/>
      <c r="Q43" s="27"/>
      <c r="R43" s="27"/>
      <c r="S43" s="27"/>
    </row>
    <row r="44" spans="1:19" x14ac:dyDescent="0.25">
      <c r="A44" s="876"/>
      <c r="B44" s="4"/>
      <c r="C44" s="23"/>
      <c r="D44" s="23"/>
      <c r="E44" s="23"/>
      <c r="F44" s="23"/>
      <c r="G44" s="23"/>
      <c r="H44" s="23"/>
      <c r="I44" s="23"/>
      <c r="J44" s="23"/>
      <c r="K44" s="23"/>
      <c r="L44" s="23"/>
      <c r="M44" s="23"/>
      <c r="N44" s="27"/>
      <c r="O44" s="23"/>
      <c r="P44" s="23"/>
      <c r="Q44" s="27"/>
      <c r="R44" s="27"/>
      <c r="S44" s="27"/>
    </row>
    <row r="45" spans="1:19" x14ac:dyDescent="0.25">
      <c r="A45" s="876"/>
      <c r="B45" s="4"/>
      <c r="C45" s="23"/>
      <c r="D45" s="23"/>
      <c r="E45" s="23"/>
      <c r="F45" s="23"/>
      <c r="G45" s="23"/>
      <c r="H45" s="23"/>
      <c r="I45" s="23"/>
      <c r="J45" s="23"/>
      <c r="K45" s="23"/>
      <c r="L45" s="23"/>
      <c r="M45" s="23"/>
      <c r="N45" s="27"/>
      <c r="O45" s="23"/>
      <c r="P45" s="23"/>
      <c r="Q45" s="27"/>
      <c r="R45" s="27"/>
      <c r="S45" s="27"/>
    </row>
    <row r="46" spans="1:19" x14ac:dyDescent="0.25">
      <c r="A46" s="876"/>
      <c r="B46" s="4"/>
      <c r="C46" s="23"/>
      <c r="D46" s="23"/>
      <c r="E46" s="23"/>
      <c r="F46" s="23"/>
      <c r="G46" s="23"/>
      <c r="H46" s="23"/>
      <c r="I46" s="23"/>
      <c r="J46" s="23"/>
      <c r="K46" s="23"/>
      <c r="L46" s="23"/>
      <c r="M46" s="23"/>
      <c r="N46" s="27"/>
      <c r="O46" s="23"/>
      <c r="P46" s="23"/>
      <c r="Q46" s="27"/>
      <c r="R46" s="27"/>
      <c r="S46" s="27"/>
    </row>
    <row r="47" spans="1:19" x14ac:dyDescent="0.25">
      <c r="A47" s="876"/>
      <c r="B47" s="4"/>
      <c r="C47" s="23"/>
      <c r="D47" s="23"/>
      <c r="E47" s="23"/>
      <c r="F47" s="23"/>
      <c r="G47" s="23"/>
      <c r="H47" s="23"/>
      <c r="I47" s="23"/>
      <c r="J47" s="23"/>
      <c r="K47" s="23"/>
      <c r="L47" s="23"/>
      <c r="M47" s="23"/>
      <c r="N47" s="27"/>
      <c r="O47" s="23"/>
      <c r="P47" s="23"/>
      <c r="Q47" s="27"/>
      <c r="R47" s="27"/>
      <c r="S47" s="27"/>
    </row>
    <row r="48" spans="1:19" x14ac:dyDescent="0.25">
      <c r="A48" s="876"/>
      <c r="B48" s="4"/>
      <c r="C48" s="23"/>
      <c r="D48" s="23"/>
      <c r="E48" s="23"/>
      <c r="F48" s="23"/>
      <c r="G48" s="23"/>
      <c r="H48" s="23"/>
      <c r="I48" s="23"/>
      <c r="J48" s="23"/>
      <c r="K48" s="23"/>
      <c r="L48" s="23"/>
      <c r="M48" s="23"/>
      <c r="N48" s="27"/>
      <c r="O48" s="23"/>
      <c r="P48" s="23"/>
      <c r="Q48" s="27"/>
      <c r="R48" s="27"/>
      <c r="S48" s="27"/>
    </row>
    <row r="49" spans="1:19" x14ac:dyDescent="0.25">
      <c r="A49" s="876"/>
      <c r="B49" s="4"/>
      <c r="C49" s="23"/>
      <c r="D49" s="23"/>
      <c r="E49" s="23"/>
      <c r="F49" s="23"/>
      <c r="G49" s="23"/>
      <c r="H49" s="23"/>
      <c r="I49" s="23"/>
      <c r="J49" s="23"/>
      <c r="K49" s="23"/>
      <c r="L49" s="23"/>
      <c r="M49" s="23"/>
      <c r="N49" s="27"/>
      <c r="O49" s="23"/>
      <c r="P49" s="23"/>
      <c r="Q49" s="27"/>
      <c r="R49" s="27"/>
      <c r="S49" s="27"/>
    </row>
    <row r="50" spans="1:19" x14ac:dyDescent="0.25">
      <c r="A50" s="876"/>
      <c r="B50" s="4"/>
      <c r="C50" s="23"/>
      <c r="D50" s="23"/>
      <c r="E50" s="23"/>
      <c r="F50" s="23"/>
      <c r="G50" s="23"/>
      <c r="H50" s="23"/>
      <c r="I50" s="23"/>
      <c r="J50" s="23"/>
      <c r="K50" s="23"/>
      <c r="L50" s="23"/>
      <c r="M50" s="23"/>
      <c r="N50" s="27"/>
      <c r="O50" s="23"/>
      <c r="P50" s="23"/>
      <c r="Q50" s="27"/>
      <c r="R50" s="27"/>
      <c r="S50" s="27"/>
    </row>
    <row r="51" spans="1:19" x14ac:dyDescent="0.25">
      <c r="A51" s="876"/>
      <c r="B51" s="4"/>
      <c r="C51" s="23"/>
      <c r="D51" s="23"/>
      <c r="E51" s="23"/>
      <c r="F51" s="23"/>
      <c r="G51" s="23"/>
      <c r="H51" s="23"/>
      <c r="I51" s="23"/>
      <c r="J51" s="23"/>
      <c r="K51" s="23"/>
      <c r="L51" s="23"/>
      <c r="M51" s="23"/>
      <c r="N51" s="27"/>
      <c r="O51" s="23"/>
      <c r="P51" s="23"/>
      <c r="Q51" s="27"/>
      <c r="R51" s="27"/>
      <c r="S51" s="27"/>
    </row>
    <row r="52" spans="1:19" x14ac:dyDescent="0.25">
      <c r="A52" s="876"/>
      <c r="B52" s="4"/>
      <c r="C52" s="23"/>
      <c r="D52" s="23"/>
      <c r="E52" s="23"/>
      <c r="F52" s="23"/>
      <c r="G52" s="23"/>
      <c r="H52" s="23"/>
      <c r="I52" s="23"/>
      <c r="J52" s="23"/>
      <c r="K52" s="23"/>
      <c r="L52" s="23"/>
      <c r="M52" s="23"/>
      <c r="N52" s="27"/>
      <c r="O52" s="23"/>
      <c r="P52" s="23"/>
      <c r="Q52" s="27"/>
      <c r="R52" s="27"/>
      <c r="S52" s="27"/>
    </row>
    <row r="53" spans="1:19" x14ac:dyDescent="0.25">
      <c r="A53" s="876"/>
      <c r="B53" s="4"/>
      <c r="C53" s="23"/>
      <c r="D53" s="23"/>
      <c r="E53" s="23"/>
      <c r="F53" s="23"/>
      <c r="G53" s="23"/>
      <c r="H53" s="23"/>
      <c r="I53" s="23"/>
      <c r="J53" s="23"/>
      <c r="K53" s="23"/>
      <c r="L53" s="23"/>
      <c r="M53" s="23"/>
      <c r="N53" s="27"/>
      <c r="O53" s="23"/>
      <c r="P53" s="23"/>
      <c r="Q53" s="27"/>
      <c r="R53" s="27"/>
      <c r="S53" s="27"/>
    </row>
    <row r="54" spans="1:19" x14ac:dyDescent="0.25">
      <c r="A54" s="876"/>
      <c r="B54" s="4"/>
      <c r="C54" s="23"/>
      <c r="D54" s="23"/>
      <c r="E54" s="23"/>
      <c r="F54" s="23"/>
      <c r="G54" s="23"/>
      <c r="H54" s="23"/>
      <c r="I54" s="23"/>
      <c r="J54" s="23"/>
      <c r="K54" s="23"/>
      <c r="L54" s="23"/>
      <c r="M54" s="23"/>
      <c r="N54" s="27"/>
      <c r="O54" s="23"/>
      <c r="P54" s="23"/>
      <c r="Q54" s="27"/>
      <c r="R54" s="27"/>
      <c r="S54" s="27"/>
    </row>
    <row r="55" spans="1:19" x14ac:dyDescent="0.25">
      <c r="A55" s="876"/>
      <c r="B55" s="4"/>
      <c r="C55" s="23"/>
      <c r="D55" s="23"/>
      <c r="E55" s="23"/>
      <c r="F55" s="23"/>
      <c r="G55" s="23"/>
      <c r="H55" s="23"/>
      <c r="I55" s="23"/>
      <c r="J55" s="23"/>
      <c r="K55" s="23"/>
      <c r="L55" s="23"/>
      <c r="M55" s="23"/>
      <c r="N55" s="27"/>
      <c r="O55" s="23"/>
      <c r="P55" s="23"/>
      <c r="Q55" s="27"/>
      <c r="R55" s="27"/>
      <c r="S55" s="27"/>
    </row>
    <row r="56" spans="1:19" x14ac:dyDescent="0.25">
      <c r="A56" s="876"/>
      <c r="B56" s="4"/>
      <c r="C56" s="23"/>
      <c r="D56" s="23"/>
      <c r="E56" s="23"/>
      <c r="F56" s="23"/>
      <c r="G56" s="23"/>
      <c r="H56" s="23"/>
      <c r="I56" s="23"/>
      <c r="J56" s="23"/>
      <c r="K56" s="23"/>
      <c r="L56" s="23"/>
      <c r="M56" s="23"/>
      <c r="N56" s="27"/>
      <c r="O56" s="23"/>
      <c r="P56" s="23"/>
      <c r="Q56" s="27"/>
      <c r="R56" s="27"/>
      <c r="S56" s="27"/>
    </row>
    <row r="57" spans="1:19" x14ac:dyDescent="0.25">
      <c r="A57" s="876"/>
      <c r="B57" s="4"/>
      <c r="C57" s="23"/>
      <c r="D57" s="23"/>
      <c r="E57" s="23"/>
      <c r="F57" s="23"/>
      <c r="G57" s="23"/>
      <c r="H57" s="23"/>
      <c r="I57" s="23"/>
      <c r="J57" s="23"/>
      <c r="K57" s="23"/>
      <c r="L57" s="23"/>
      <c r="M57" s="23"/>
      <c r="N57" s="27"/>
      <c r="O57" s="23"/>
      <c r="P57" s="23"/>
      <c r="Q57" s="27"/>
      <c r="R57" s="27"/>
      <c r="S57" s="27"/>
    </row>
    <row r="58" spans="1:19" x14ac:dyDescent="0.25">
      <c r="A58" s="876"/>
      <c r="B58" s="4"/>
      <c r="C58" s="23"/>
      <c r="D58" s="23"/>
      <c r="E58" s="23"/>
      <c r="F58" s="23"/>
      <c r="G58" s="23"/>
      <c r="H58" s="23"/>
      <c r="I58" s="23"/>
      <c r="J58" s="23"/>
      <c r="K58" s="23"/>
      <c r="L58" s="23"/>
      <c r="M58" s="23"/>
      <c r="N58" s="4"/>
      <c r="O58" s="23"/>
      <c r="P58" s="23"/>
      <c r="Q58" s="4"/>
      <c r="R58" s="4"/>
      <c r="S58" s="4"/>
    </row>
    <row r="59" spans="1:19" x14ac:dyDescent="0.25">
      <c r="A59" s="876"/>
      <c r="B59" s="4"/>
      <c r="C59" s="23"/>
      <c r="D59" s="23"/>
      <c r="E59" s="23"/>
      <c r="F59" s="23"/>
      <c r="G59" s="23"/>
      <c r="H59" s="23"/>
      <c r="I59" s="23"/>
      <c r="J59" s="23"/>
      <c r="K59" s="23"/>
      <c r="L59" s="23"/>
      <c r="M59" s="23"/>
      <c r="N59" s="4"/>
      <c r="O59" s="23"/>
      <c r="P59" s="23"/>
      <c r="Q59" s="4"/>
      <c r="R59" s="4"/>
      <c r="S59" s="4"/>
    </row>
    <row r="60" spans="1:19" x14ac:dyDescent="0.25">
      <c r="A60" s="876"/>
      <c r="B60" s="4"/>
      <c r="C60" s="23"/>
      <c r="D60" s="23"/>
      <c r="E60" s="23"/>
      <c r="F60" s="23"/>
      <c r="G60" s="23"/>
      <c r="H60" s="23"/>
      <c r="I60" s="23"/>
      <c r="J60" s="23"/>
      <c r="K60" s="23"/>
      <c r="L60" s="23"/>
      <c r="M60" s="23"/>
      <c r="N60" s="4"/>
      <c r="O60" s="23"/>
      <c r="P60" s="23"/>
      <c r="Q60" s="4"/>
      <c r="R60" s="4"/>
      <c r="S60" s="4"/>
    </row>
    <row r="61" spans="1:19" x14ac:dyDescent="0.25">
      <c r="A61" s="876"/>
      <c r="B61" s="4"/>
      <c r="C61" s="23"/>
      <c r="D61" s="23"/>
      <c r="E61" s="23"/>
      <c r="F61" s="23"/>
      <c r="G61" s="23"/>
      <c r="H61" s="23"/>
      <c r="I61" s="23"/>
      <c r="J61" s="23"/>
      <c r="K61" s="23"/>
      <c r="L61" s="23"/>
      <c r="M61" s="23"/>
      <c r="N61" s="4"/>
      <c r="O61" s="23"/>
      <c r="P61" s="23"/>
      <c r="Q61" s="4"/>
      <c r="R61" s="4"/>
      <c r="S61" s="4"/>
    </row>
    <row r="62" spans="1:19" x14ac:dyDescent="0.25">
      <c r="A62" s="876"/>
      <c r="B62" s="4"/>
      <c r="C62" s="23"/>
      <c r="D62" s="23"/>
      <c r="E62" s="23"/>
      <c r="F62" s="23"/>
      <c r="G62" s="23"/>
      <c r="H62" s="23"/>
      <c r="I62" s="23"/>
      <c r="J62" s="23"/>
      <c r="K62" s="23"/>
      <c r="L62" s="23"/>
      <c r="M62" s="23"/>
      <c r="N62" s="4"/>
      <c r="O62" s="23"/>
      <c r="P62" s="23"/>
      <c r="Q62" s="4"/>
      <c r="R62" s="4"/>
      <c r="S62" s="4"/>
    </row>
    <row r="63" spans="1:19" x14ac:dyDescent="0.25">
      <c r="A63" s="876"/>
      <c r="B63" s="4"/>
      <c r="C63" s="23"/>
      <c r="D63" s="23"/>
      <c r="E63" s="23"/>
      <c r="F63" s="23"/>
      <c r="G63" s="23"/>
      <c r="H63" s="23"/>
      <c r="I63" s="23"/>
      <c r="J63" s="23"/>
      <c r="K63" s="23"/>
      <c r="L63" s="23"/>
      <c r="M63" s="23"/>
      <c r="N63" s="4"/>
      <c r="O63" s="23"/>
      <c r="P63" s="23"/>
      <c r="Q63" s="4"/>
      <c r="R63" s="4"/>
      <c r="S63" s="4"/>
    </row>
    <row r="64" spans="1:19" x14ac:dyDescent="0.25">
      <c r="A64" s="876"/>
      <c r="B64" s="4"/>
      <c r="C64" s="23"/>
      <c r="D64" s="23"/>
      <c r="E64" s="23"/>
      <c r="F64" s="23"/>
      <c r="G64" s="23"/>
      <c r="H64" s="23"/>
      <c r="I64" s="23"/>
      <c r="J64" s="23"/>
      <c r="K64" s="23"/>
      <c r="L64" s="23"/>
      <c r="M64" s="23"/>
      <c r="N64" s="4"/>
      <c r="O64" s="23"/>
      <c r="P64" s="23"/>
      <c r="Q64" s="4"/>
      <c r="R64" s="4"/>
      <c r="S64" s="4"/>
    </row>
    <row r="65" spans="1:19" x14ac:dyDescent="0.25">
      <c r="A65" s="876"/>
      <c r="B65" s="4"/>
      <c r="C65" s="23"/>
      <c r="D65" s="23"/>
      <c r="E65" s="23"/>
      <c r="F65" s="23"/>
      <c r="G65" s="23"/>
      <c r="H65" s="23"/>
      <c r="I65" s="23"/>
      <c r="J65" s="23"/>
      <c r="K65" s="23"/>
      <c r="L65" s="23"/>
      <c r="M65" s="23"/>
      <c r="N65" s="4"/>
      <c r="O65" s="23"/>
      <c r="P65" s="23"/>
      <c r="Q65" s="4"/>
      <c r="R65" s="4"/>
      <c r="S65" s="4"/>
    </row>
    <row r="66" spans="1:19" x14ac:dyDescent="0.25">
      <c r="A66" s="876"/>
      <c r="B66" s="4"/>
      <c r="C66" s="23"/>
      <c r="D66" s="23"/>
      <c r="E66" s="23"/>
      <c r="F66" s="23"/>
      <c r="G66" s="23"/>
      <c r="H66" s="23"/>
      <c r="I66" s="23"/>
      <c r="J66" s="23"/>
      <c r="K66" s="23"/>
      <c r="L66" s="23"/>
      <c r="M66" s="23"/>
      <c r="N66" s="4"/>
      <c r="O66" s="23"/>
      <c r="P66" s="23"/>
      <c r="Q66" s="4"/>
      <c r="R66" s="4"/>
      <c r="S66" s="4"/>
    </row>
    <row r="67" spans="1:19" x14ac:dyDescent="0.25">
      <c r="A67" s="876"/>
      <c r="B67" s="4"/>
      <c r="C67" s="23"/>
      <c r="D67" s="23"/>
      <c r="E67" s="23"/>
      <c r="F67" s="23"/>
      <c r="G67" s="23"/>
      <c r="H67" s="23"/>
      <c r="I67" s="23"/>
      <c r="J67" s="23"/>
      <c r="K67" s="23"/>
      <c r="L67" s="23"/>
      <c r="M67" s="23"/>
      <c r="N67" s="4"/>
      <c r="O67" s="23"/>
      <c r="P67" s="23"/>
      <c r="Q67" s="4"/>
      <c r="R67" s="4"/>
      <c r="S67" s="4"/>
    </row>
    <row r="68" spans="1:19" x14ac:dyDescent="0.25">
      <c r="A68" s="876"/>
      <c r="B68" s="4"/>
      <c r="C68" s="23"/>
      <c r="D68" s="23"/>
      <c r="E68" s="23"/>
      <c r="F68" s="23"/>
      <c r="G68" s="23"/>
      <c r="H68" s="23"/>
      <c r="I68" s="23"/>
      <c r="J68" s="23"/>
      <c r="K68" s="23"/>
      <c r="L68" s="23"/>
      <c r="M68" s="23"/>
      <c r="N68" s="4"/>
      <c r="O68" s="23"/>
      <c r="P68" s="23"/>
      <c r="Q68" s="4"/>
      <c r="R68" s="4"/>
      <c r="S68" s="4"/>
    </row>
    <row r="69" spans="1:19" x14ac:dyDescent="0.25">
      <c r="A69" s="876"/>
      <c r="B69" s="4"/>
      <c r="C69" s="23"/>
      <c r="D69" s="23"/>
      <c r="E69" s="23"/>
      <c r="F69" s="23"/>
      <c r="G69" s="23"/>
      <c r="H69" s="23"/>
      <c r="I69" s="23"/>
      <c r="J69" s="23"/>
      <c r="K69" s="23"/>
      <c r="L69" s="23"/>
      <c r="M69" s="23"/>
      <c r="N69" s="4"/>
      <c r="O69" s="23"/>
      <c r="P69" s="23"/>
      <c r="Q69" s="4"/>
      <c r="R69" s="4"/>
      <c r="S69" s="4"/>
    </row>
    <row r="70" spans="1:19" x14ac:dyDescent="0.25">
      <c r="A70" s="876"/>
      <c r="B70" s="4"/>
      <c r="C70" s="23"/>
      <c r="D70" s="23"/>
      <c r="E70" s="23"/>
      <c r="F70" s="23"/>
      <c r="G70" s="23"/>
      <c r="H70" s="23"/>
      <c r="I70" s="23"/>
      <c r="J70" s="23"/>
      <c r="K70" s="23"/>
      <c r="L70" s="23"/>
      <c r="M70" s="23"/>
      <c r="N70" s="4"/>
      <c r="O70" s="23"/>
      <c r="P70" s="23"/>
      <c r="Q70" s="4"/>
      <c r="R70" s="4"/>
      <c r="S70" s="4"/>
    </row>
    <row r="71" spans="1:19" x14ac:dyDescent="0.25">
      <c r="A71" s="876"/>
      <c r="B71" s="4"/>
      <c r="C71" s="23"/>
      <c r="D71" s="23"/>
      <c r="E71" s="23"/>
      <c r="F71" s="23"/>
      <c r="G71" s="23"/>
      <c r="H71" s="23"/>
      <c r="I71" s="23"/>
      <c r="J71" s="23"/>
      <c r="K71" s="23"/>
      <c r="L71" s="23"/>
      <c r="M71" s="23"/>
      <c r="N71" s="4"/>
      <c r="O71" s="23"/>
      <c r="P71" s="23"/>
      <c r="Q71" s="4"/>
      <c r="R71" s="4"/>
      <c r="S71" s="4"/>
    </row>
    <row r="72" spans="1:19" x14ac:dyDescent="0.25">
      <c r="A72" s="876"/>
      <c r="B72" s="4"/>
      <c r="C72" s="23"/>
      <c r="D72" s="23"/>
      <c r="E72" s="23"/>
      <c r="F72" s="23"/>
      <c r="G72" s="23"/>
      <c r="H72" s="23"/>
      <c r="I72" s="23"/>
      <c r="J72" s="23"/>
      <c r="K72" s="23"/>
      <c r="L72" s="23"/>
      <c r="M72" s="23"/>
      <c r="N72" s="4"/>
      <c r="O72" s="23"/>
      <c r="P72" s="23"/>
      <c r="Q72" s="4"/>
      <c r="R72" s="4"/>
      <c r="S72" s="4"/>
    </row>
    <row r="73" spans="1:19" x14ac:dyDescent="0.25">
      <c r="A73" s="876"/>
      <c r="B73" s="4"/>
      <c r="C73" s="23"/>
      <c r="D73" s="23"/>
      <c r="E73" s="23"/>
      <c r="F73" s="23"/>
      <c r="G73" s="23"/>
      <c r="H73" s="23"/>
      <c r="I73" s="23"/>
      <c r="J73" s="23"/>
      <c r="K73" s="23"/>
      <c r="L73" s="23"/>
      <c r="M73" s="23"/>
      <c r="N73" s="4"/>
      <c r="O73" s="23"/>
      <c r="P73" s="23"/>
      <c r="Q73" s="4"/>
      <c r="R73" s="4"/>
      <c r="S73" s="4"/>
    </row>
    <row r="74" spans="1:19" x14ac:dyDescent="0.25">
      <c r="A74" s="876"/>
      <c r="B74" s="4"/>
      <c r="C74" s="23"/>
      <c r="D74" s="23"/>
      <c r="E74" s="23"/>
      <c r="F74" s="23"/>
      <c r="G74" s="23"/>
      <c r="H74" s="23"/>
      <c r="I74" s="23"/>
      <c r="J74" s="23"/>
      <c r="K74" s="23"/>
      <c r="L74" s="23"/>
      <c r="M74" s="23"/>
      <c r="N74" s="4"/>
      <c r="O74" s="23"/>
      <c r="P74" s="23"/>
      <c r="Q74" s="4"/>
      <c r="R74" s="4"/>
      <c r="S74" s="4"/>
    </row>
    <row r="75" spans="1:19" x14ac:dyDescent="0.25">
      <c r="A75" s="876"/>
      <c r="B75" s="4"/>
      <c r="C75" s="23"/>
      <c r="D75" s="23"/>
      <c r="E75" s="23"/>
      <c r="F75" s="23"/>
      <c r="G75" s="23"/>
      <c r="H75" s="23"/>
      <c r="I75" s="23"/>
      <c r="J75" s="23"/>
      <c r="K75" s="23"/>
      <c r="L75" s="23"/>
      <c r="M75" s="23"/>
      <c r="N75" s="4"/>
      <c r="O75" s="23"/>
      <c r="P75" s="23"/>
      <c r="Q75" s="4"/>
      <c r="R75" s="4"/>
      <c r="S75" s="4"/>
    </row>
    <row r="76" spans="1:19" x14ac:dyDescent="0.25">
      <c r="A76" s="876"/>
      <c r="B76" s="4"/>
      <c r="C76" s="23"/>
      <c r="D76" s="23"/>
      <c r="E76" s="23"/>
      <c r="F76" s="23"/>
      <c r="G76" s="23"/>
      <c r="H76" s="23"/>
      <c r="I76" s="23"/>
      <c r="J76" s="23"/>
      <c r="K76" s="23"/>
      <c r="L76" s="23"/>
      <c r="M76" s="23"/>
      <c r="N76" s="4"/>
      <c r="O76" s="23"/>
      <c r="P76" s="23"/>
      <c r="Q76" s="4"/>
      <c r="R76" s="4"/>
      <c r="S76" s="4"/>
    </row>
    <row r="77" spans="1:19" x14ac:dyDescent="0.25">
      <c r="A77" s="876"/>
      <c r="B77" s="4"/>
      <c r="C77" s="23"/>
      <c r="D77" s="23"/>
      <c r="E77" s="23"/>
      <c r="F77" s="23"/>
      <c r="G77" s="23"/>
      <c r="H77" s="23"/>
      <c r="I77" s="23"/>
      <c r="J77" s="23"/>
      <c r="K77" s="23"/>
      <c r="L77" s="23"/>
      <c r="M77" s="23"/>
      <c r="N77" s="4"/>
      <c r="O77" s="23"/>
      <c r="P77" s="23"/>
      <c r="Q77" s="4"/>
      <c r="R77" s="4"/>
      <c r="S77" s="4"/>
    </row>
    <row r="78" spans="1:19" x14ac:dyDescent="0.25">
      <c r="A78" s="876"/>
      <c r="B78" s="4"/>
      <c r="C78" s="23"/>
      <c r="D78" s="23"/>
      <c r="E78" s="23"/>
      <c r="F78" s="23"/>
      <c r="G78" s="23"/>
      <c r="H78" s="23"/>
      <c r="I78" s="23"/>
      <c r="J78" s="23"/>
      <c r="K78" s="23"/>
      <c r="L78" s="23"/>
      <c r="M78" s="23"/>
      <c r="N78" s="4"/>
      <c r="O78" s="23"/>
      <c r="P78" s="23"/>
      <c r="Q78" s="4"/>
      <c r="R78" s="4"/>
      <c r="S78" s="4"/>
    </row>
    <row r="79" spans="1:19" x14ac:dyDescent="0.25">
      <c r="A79" s="876"/>
      <c r="B79" s="4"/>
      <c r="C79" s="23"/>
      <c r="D79" s="23"/>
      <c r="E79" s="23"/>
      <c r="F79" s="23"/>
      <c r="G79" s="23"/>
      <c r="H79" s="23"/>
      <c r="I79" s="23"/>
      <c r="J79" s="23"/>
      <c r="K79" s="23"/>
      <c r="L79" s="23"/>
      <c r="M79" s="23"/>
      <c r="N79" s="4"/>
      <c r="O79" s="23"/>
      <c r="P79" s="23"/>
      <c r="Q79" s="4"/>
      <c r="R79" s="4"/>
      <c r="S79" s="4"/>
    </row>
    <row r="80" spans="1:19" x14ac:dyDescent="0.25">
      <c r="A80" s="876"/>
      <c r="B80" s="4"/>
      <c r="C80" s="23"/>
      <c r="D80" s="23"/>
      <c r="E80" s="23"/>
      <c r="F80" s="23"/>
      <c r="G80" s="23"/>
      <c r="H80" s="23"/>
      <c r="I80" s="23"/>
      <c r="J80" s="23"/>
      <c r="K80" s="23"/>
      <c r="L80" s="23"/>
      <c r="M80" s="23"/>
      <c r="N80" s="4"/>
      <c r="O80" s="23"/>
      <c r="P80" s="23"/>
      <c r="Q80" s="4"/>
      <c r="R80" s="4"/>
      <c r="S80" s="4"/>
    </row>
    <row r="81" spans="1:19" x14ac:dyDescent="0.25">
      <c r="A81" s="876"/>
      <c r="B81" s="4"/>
      <c r="C81" s="23"/>
      <c r="D81" s="23"/>
      <c r="E81" s="23"/>
      <c r="F81" s="23"/>
      <c r="G81" s="23"/>
      <c r="H81" s="23"/>
      <c r="I81" s="23"/>
      <c r="J81" s="23"/>
      <c r="K81" s="23"/>
      <c r="L81" s="23"/>
      <c r="M81" s="23"/>
      <c r="N81" s="4"/>
      <c r="O81" s="23"/>
      <c r="P81" s="23"/>
      <c r="Q81" s="4"/>
      <c r="R81" s="4"/>
      <c r="S81" s="4"/>
    </row>
    <row r="82" spans="1:19" x14ac:dyDescent="0.25">
      <c r="A82" s="876"/>
      <c r="B82" s="4"/>
      <c r="C82" s="23"/>
      <c r="D82" s="23"/>
      <c r="E82" s="23"/>
      <c r="F82" s="23"/>
      <c r="G82" s="23"/>
      <c r="H82" s="23"/>
      <c r="I82" s="23"/>
      <c r="J82" s="23"/>
      <c r="K82" s="23"/>
      <c r="L82" s="23"/>
      <c r="M82" s="23"/>
      <c r="N82" s="4"/>
      <c r="O82" s="23"/>
      <c r="P82" s="23"/>
      <c r="Q82" s="4"/>
      <c r="R82" s="4"/>
      <c r="S82" s="4"/>
    </row>
    <row r="83" spans="1:19" x14ac:dyDescent="0.25">
      <c r="A83" s="876"/>
      <c r="B83" s="4"/>
      <c r="C83" s="23"/>
      <c r="D83" s="23"/>
      <c r="E83" s="23"/>
      <c r="F83" s="23"/>
      <c r="G83" s="23"/>
      <c r="H83" s="23"/>
      <c r="I83" s="23"/>
      <c r="J83" s="23"/>
      <c r="K83" s="23"/>
      <c r="L83" s="23"/>
      <c r="M83" s="23"/>
      <c r="N83" s="4"/>
      <c r="O83" s="23"/>
      <c r="P83" s="23"/>
      <c r="Q83" s="4"/>
      <c r="R83" s="4"/>
      <c r="S83" s="4"/>
    </row>
    <row r="84" spans="1:19" x14ac:dyDescent="0.25">
      <c r="A84" s="876"/>
      <c r="B84" s="4"/>
      <c r="C84" s="23"/>
      <c r="D84" s="23"/>
      <c r="E84" s="23"/>
      <c r="F84" s="23"/>
      <c r="G84" s="23"/>
      <c r="H84" s="23"/>
      <c r="I84" s="23"/>
      <c r="J84" s="23"/>
      <c r="K84" s="23"/>
      <c r="L84" s="23"/>
      <c r="M84" s="23"/>
      <c r="N84" s="4"/>
      <c r="O84" s="23"/>
      <c r="P84" s="23"/>
      <c r="Q84" s="4"/>
      <c r="R84" s="4"/>
      <c r="S84" s="4"/>
    </row>
    <row r="85" spans="1:19" x14ac:dyDescent="0.25">
      <c r="A85" s="876"/>
      <c r="B85" s="4"/>
      <c r="C85" s="23"/>
      <c r="D85" s="23"/>
      <c r="E85" s="23"/>
      <c r="F85" s="23"/>
      <c r="G85" s="23"/>
      <c r="H85" s="23"/>
      <c r="I85" s="23"/>
      <c r="J85" s="23"/>
      <c r="K85" s="23"/>
      <c r="L85" s="23"/>
      <c r="M85" s="23"/>
      <c r="N85" s="4"/>
      <c r="O85" s="23"/>
      <c r="P85" s="23"/>
      <c r="Q85" s="4"/>
      <c r="R85" s="4"/>
      <c r="S85" s="4"/>
    </row>
    <row r="86" spans="1:19" x14ac:dyDescent="0.25">
      <c r="A86" s="876"/>
      <c r="B86" s="4"/>
      <c r="C86" s="23"/>
      <c r="D86" s="23"/>
      <c r="E86" s="23"/>
      <c r="F86" s="23"/>
      <c r="G86" s="23"/>
      <c r="H86" s="23"/>
      <c r="I86" s="23"/>
      <c r="J86" s="23"/>
      <c r="K86" s="23"/>
      <c r="L86" s="23"/>
      <c r="M86" s="23"/>
      <c r="N86" s="4"/>
      <c r="O86" s="23"/>
      <c r="P86" s="23"/>
      <c r="Q86" s="4"/>
      <c r="R86" s="4"/>
      <c r="S86" s="4"/>
    </row>
    <row r="87" spans="1:19" x14ac:dyDescent="0.25">
      <c r="A87" s="876"/>
      <c r="B87" s="4"/>
      <c r="C87" s="23"/>
      <c r="D87" s="23"/>
      <c r="E87" s="23"/>
      <c r="F87" s="23"/>
      <c r="G87" s="23"/>
      <c r="H87" s="23"/>
      <c r="I87" s="23"/>
      <c r="J87" s="23"/>
      <c r="K87" s="23"/>
      <c r="L87" s="23"/>
      <c r="M87" s="23"/>
      <c r="N87" s="4"/>
      <c r="O87" s="23"/>
      <c r="P87" s="23"/>
      <c r="Q87" s="4"/>
      <c r="R87" s="4"/>
      <c r="S87" s="4"/>
    </row>
    <row r="88" spans="1:19" x14ac:dyDescent="0.25">
      <c r="A88" s="876"/>
      <c r="B88" s="4"/>
      <c r="C88" s="23"/>
      <c r="D88" s="23"/>
      <c r="E88" s="23"/>
      <c r="F88" s="23"/>
      <c r="G88" s="23"/>
      <c r="H88" s="23"/>
      <c r="I88" s="23"/>
      <c r="J88" s="23"/>
      <c r="K88" s="23"/>
      <c r="L88" s="23"/>
      <c r="M88" s="23"/>
      <c r="N88" s="4"/>
      <c r="O88" s="23"/>
      <c r="P88" s="23"/>
      <c r="Q88" s="4"/>
      <c r="R88" s="4"/>
      <c r="S88" s="4"/>
    </row>
    <row r="89" spans="1:19" x14ac:dyDescent="0.25">
      <c r="A89" s="876"/>
      <c r="B89" s="4"/>
      <c r="C89" s="23"/>
      <c r="D89" s="23"/>
      <c r="E89" s="23"/>
      <c r="F89" s="23"/>
      <c r="G89" s="23"/>
      <c r="H89" s="23"/>
      <c r="I89" s="23"/>
      <c r="J89" s="23"/>
      <c r="K89" s="23"/>
      <c r="L89" s="23"/>
      <c r="M89" s="23"/>
      <c r="N89" s="4"/>
      <c r="O89" s="23"/>
      <c r="P89" s="23"/>
      <c r="Q89" s="4"/>
      <c r="R89" s="4"/>
      <c r="S89" s="4"/>
    </row>
    <row r="90" spans="1:19" x14ac:dyDescent="0.25">
      <c r="A90" s="876"/>
      <c r="B90" s="4"/>
      <c r="C90" s="23"/>
      <c r="D90" s="23"/>
      <c r="E90" s="23"/>
      <c r="F90" s="23"/>
      <c r="G90" s="23"/>
      <c r="H90" s="23"/>
      <c r="I90" s="23"/>
      <c r="J90" s="23"/>
      <c r="K90" s="23"/>
      <c r="L90" s="23"/>
      <c r="M90" s="23"/>
      <c r="N90" s="4"/>
      <c r="O90" s="23"/>
      <c r="P90" s="23"/>
      <c r="Q90" s="4"/>
      <c r="R90" s="4"/>
      <c r="S90" s="4"/>
    </row>
    <row r="91" spans="1:19" x14ac:dyDescent="0.25">
      <c r="A91" s="876"/>
      <c r="B91" s="4"/>
      <c r="C91" s="23"/>
      <c r="D91" s="23"/>
      <c r="E91" s="23"/>
      <c r="F91" s="23"/>
      <c r="G91" s="23"/>
      <c r="H91" s="23"/>
      <c r="I91" s="23"/>
      <c r="J91" s="23"/>
      <c r="K91" s="23"/>
      <c r="L91" s="23"/>
      <c r="M91" s="23"/>
      <c r="N91" s="4"/>
      <c r="O91" s="23"/>
      <c r="P91" s="23"/>
      <c r="Q91" s="4"/>
      <c r="R91" s="4"/>
      <c r="S91" s="4"/>
    </row>
    <row r="92" spans="1:19" x14ac:dyDescent="0.25">
      <c r="A92" s="876"/>
      <c r="B92" s="4"/>
      <c r="C92" s="23"/>
      <c r="D92" s="23"/>
      <c r="E92" s="23"/>
      <c r="F92" s="23"/>
      <c r="G92" s="23"/>
      <c r="H92" s="23"/>
      <c r="I92" s="23"/>
      <c r="J92" s="23"/>
      <c r="K92" s="23"/>
      <c r="L92" s="23"/>
      <c r="M92" s="23"/>
      <c r="N92" s="4"/>
      <c r="O92" s="23"/>
      <c r="P92" s="23"/>
      <c r="Q92" s="4"/>
      <c r="R92" s="4"/>
      <c r="S92" s="4"/>
    </row>
    <row r="93" spans="1:19" x14ac:dyDescent="0.25">
      <c r="A93" s="876"/>
      <c r="B93" s="4"/>
      <c r="C93" s="23"/>
      <c r="D93" s="23"/>
      <c r="E93" s="23"/>
      <c r="F93" s="23"/>
      <c r="G93" s="23"/>
      <c r="H93" s="23"/>
      <c r="I93" s="23"/>
      <c r="J93" s="23"/>
      <c r="K93" s="23"/>
      <c r="L93" s="23"/>
      <c r="M93" s="23"/>
      <c r="N93" s="4"/>
      <c r="O93" s="23"/>
      <c r="P93" s="23"/>
      <c r="Q93" s="4"/>
      <c r="R93" s="4"/>
      <c r="S93" s="4"/>
    </row>
    <row r="94" spans="1:19" x14ac:dyDescent="0.25">
      <c r="A94" s="876"/>
      <c r="B94" s="4"/>
      <c r="C94" s="23"/>
      <c r="D94" s="23"/>
      <c r="E94" s="23"/>
      <c r="F94" s="23"/>
      <c r="G94" s="23"/>
      <c r="H94" s="23"/>
      <c r="I94" s="23"/>
      <c r="J94" s="23"/>
      <c r="K94" s="23"/>
      <c r="L94" s="23"/>
      <c r="M94" s="23"/>
      <c r="N94" s="4"/>
      <c r="O94" s="23"/>
      <c r="P94" s="23"/>
      <c r="Q94" s="4"/>
      <c r="R94" s="4"/>
      <c r="S94" s="4"/>
    </row>
    <row r="95" spans="1:19" x14ac:dyDescent="0.25">
      <c r="A95" s="876"/>
      <c r="B95" s="4"/>
      <c r="C95" s="23"/>
      <c r="D95" s="23"/>
      <c r="E95" s="23"/>
      <c r="F95" s="23"/>
      <c r="G95" s="23"/>
      <c r="H95" s="23"/>
      <c r="I95" s="23"/>
      <c r="J95" s="23"/>
      <c r="K95" s="23"/>
      <c r="L95" s="23"/>
      <c r="M95" s="23"/>
      <c r="N95" s="4"/>
      <c r="O95" s="23"/>
      <c r="P95" s="23"/>
      <c r="Q95" s="4"/>
      <c r="R95" s="4"/>
      <c r="S95" s="4"/>
    </row>
    <row r="96" spans="1:19" x14ac:dyDescent="0.25">
      <c r="A96" s="876"/>
      <c r="B96" s="4"/>
      <c r="C96" s="23"/>
      <c r="D96" s="23"/>
      <c r="E96" s="23"/>
      <c r="F96" s="23"/>
      <c r="G96" s="23"/>
      <c r="H96" s="23"/>
      <c r="I96" s="23"/>
      <c r="J96" s="23"/>
      <c r="K96" s="23"/>
      <c r="L96" s="23"/>
      <c r="M96" s="23"/>
      <c r="N96" s="4"/>
      <c r="O96" s="23"/>
      <c r="P96" s="23"/>
      <c r="Q96" s="4"/>
      <c r="R96" s="4"/>
      <c r="S96" s="4"/>
    </row>
    <row r="97" spans="1:19" x14ac:dyDescent="0.25">
      <c r="A97" s="876"/>
      <c r="B97" s="4"/>
      <c r="C97" s="23"/>
      <c r="D97" s="23"/>
      <c r="E97" s="23"/>
      <c r="F97" s="23"/>
      <c r="G97" s="23"/>
      <c r="H97" s="23"/>
      <c r="I97" s="23"/>
      <c r="J97" s="23"/>
      <c r="K97" s="23"/>
      <c r="L97" s="23"/>
      <c r="M97" s="23"/>
      <c r="N97" s="4"/>
      <c r="O97" s="23"/>
      <c r="P97" s="23"/>
      <c r="Q97" s="4"/>
      <c r="R97" s="4"/>
      <c r="S97" s="4"/>
    </row>
    <row r="98" spans="1:19" x14ac:dyDescent="0.25">
      <c r="A98" s="876"/>
      <c r="B98" s="4"/>
      <c r="C98" s="23"/>
      <c r="D98" s="23"/>
      <c r="E98" s="23"/>
      <c r="F98" s="23"/>
      <c r="G98" s="23"/>
      <c r="H98" s="23"/>
      <c r="I98" s="23"/>
      <c r="J98" s="23"/>
      <c r="K98" s="23"/>
      <c r="L98" s="23"/>
      <c r="M98" s="23"/>
      <c r="N98" s="4"/>
      <c r="O98" s="23"/>
      <c r="P98" s="23"/>
      <c r="Q98" s="4"/>
      <c r="R98" s="4"/>
      <c r="S98" s="4"/>
    </row>
    <row r="99" spans="1:19" x14ac:dyDescent="0.25">
      <c r="A99" s="876"/>
      <c r="B99" s="4"/>
      <c r="C99" s="23"/>
      <c r="D99" s="23"/>
      <c r="E99" s="23"/>
      <c r="F99" s="23"/>
      <c r="G99" s="23"/>
      <c r="H99" s="23"/>
      <c r="I99" s="23"/>
      <c r="J99" s="23"/>
      <c r="K99" s="23"/>
      <c r="L99" s="23"/>
      <c r="M99" s="23"/>
      <c r="N99" s="4"/>
      <c r="O99" s="23"/>
      <c r="P99" s="23"/>
      <c r="Q99" s="4"/>
      <c r="R99" s="4"/>
      <c r="S99" s="4"/>
    </row>
    <row r="100" spans="1:19" x14ac:dyDescent="0.25">
      <c r="A100" s="876"/>
      <c r="B100" s="4"/>
      <c r="C100" s="23"/>
      <c r="D100" s="23"/>
      <c r="E100" s="23"/>
      <c r="F100" s="23"/>
      <c r="G100" s="23"/>
      <c r="H100" s="23"/>
      <c r="I100" s="23"/>
      <c r="J100" s="23"/>
      <c r="K100" s="23"/>
      <c r="L100" s="23"/>
      <c r="M100" s="23"/>
      <c r="N100" s="4"/>
      <c r="O100" s="23"/>
      <c r="P100" s="23"/>
      <c r="Q100" s="4"/>
      <c r="R100" s="4"/>
      <c r="S100" s="4"/>
    </row>
    <row r="101" spans="1:19" x14ac:dyDescent="0.25">
      <c r="A101" s="876"/>
      <c r="B101" s="4"/>
      <c r="C101" s="23"/>
      <c r="D101" s="23"/>
      <c r="E101" s="23"/>
      <c r="F101" s="23"/>
      <c r="G101" s="23"/>
      <c r="H101" s="23"/>
      <c r="I101" s="23"/>
      <c r="J101" s="23"/>
      <c r="K101" s="23"/>
      <c r="L101" s="23"/>
      <c r="M101" s="23"/>
      <c r="N101" s="4"/>
      <c r="O101" s="23"/>
      <c r="P101" s="23"/>
      <c r="Q101" s="4"/>
      <c r="R101" s="4"/>
      <c r="S101" s="4"/>
    </row>
    <row r="102" spans="1:19" x14ac:dyDescent="0.25">
      <c r="A102" s="876"/>
      <c r="B102" s="4"/>
      <c r="C102" s="23"/>
      <c r="D102" s="23"/>
      <c r="E102" s="23"/>
      <c r="F102" s="23"/>
      <c r="G102" s="23"/>
      <c r="H102" s="23"/>
      <c r="I102" s="23"/>
      <c r="J102" s="23"/>
      <c r="K102" s="23"/>
      <c r="L102" s="23"/>
      <c r="M102" s="23"/>
      <c r="N102" s="4"/>
      <c r="O102" s="23"/>
      <c r="P102" s="23"/>
      <c r="Q102" s="4"/>
      <c r="R102" s="4"/>
      <c r="S102" s="4"/>
    </row>
    <row r="103" spans="1:19" x14ac:dyDescent="0.25">
      <c r="A103" s="876"/>
      <c r="B103" s="4"/>
      <c r="C103" s="23"/>
      <c r="D103" s="23"/>
      <c r="E103" s="23"/>
      <c r="F103" s="23"/>
      <c r="G103" s="23"/>
      <c r="H103" s="23"/>
      <c r="I103" s="23"/>
      <c r="J103" s="23"/>
      <c r="K103" s="23"/>
      <c r="L103" s="23"/>
      <c r="M103" s="23"/>
      <c r="N103" s="4"/>
      <c r="O103" s="23"/>
      <c r="P103" s="23"/>
      <c r="Q103" s="4"/>
      <c r="R103" s="4"/>
      <c r="S103" s="4"/>
    </row>
    <row r="104" spans="1:19" x14ac:dyDescent="0.25">
      <c r="A104" s="876"/>
      <c r="B104" s="4"/>
      <c r="C104" s="23"/>
      <c r="D104" s="23"/>
      <c r="E104" s="23"/>
      <c r="F104" s="23"/>
      <c r="G104" s="23"/>
      <c r="H104" s="23"/>
      <c r="I104" s="23"/>
      <c r="J104" s="23"/>
      <c r="K104" s="23"/>
      <c r="L104" s="23"/>
      <c r="M104" s="23"/>
      <c r="N104" s="4"/>
      <c r="O104" s="23"/>
      <c r="P104" s="23"/>
      <c r="Q104" s="4"/>
      <c r="R104" s="4"/>
      <c r="S104" s="4"/>
    </row>
    <row r="105" spans="1:19" x14ac:dyDescent="0.25">
      <c r="A105" s="876"/>
      <c r="B105" s="4"/>
      <c r="C105" s="23"/>
      <c r="D105" s="23"/>
      <c r="E105" s="23"/>
      <c r="F105" s="23"/>
      <c r="G105" s="23"/>
      <c r="H105" s="23"/>
      <c r="I105" s="23"/>
      <c r="J105" s="23"/>
      <c r="K105" s="23"/>
      <c r="L105" s="23"/>
      <c r="M105" s="23"/>
      <c r="N105" s="4"/>
      <c r="O105" s="23"/>
      <c r="P105" s="23"/>
      <c r="Q105" s="4"/>
      <c r="R105" s="4"/>
      <c r="S105" s="4"/>
    </row>
    <row r="106" spans="1:19" x14ac:dyDescent="0.25">
      <c r="A106" s="876"/>
      <c r="B106" s="4"/>
      <c r="C106" s="23"/>
      <c r="D106" s="23"/>
      <c r="E106" s="23"/>
      <c r="F106" s="23"/>
      <c r="G106" s="23"/>
      <c r="H106" s="23"/>
      <c r="I106" s="23"/>
      <c r="J106" s="23"/>
      <c r="K106" s="23"/>
      <c r="L106" s="23"/>
      <c r="M106" s="23"/>
      <c r="N106" s="4"/>
      <c r="O106" s="23"/>
      <c r="P106" s="23"/>
      <c r="Q106" s="4"/>
      <c r="R106" s="4"/>
      <c r="S106" s="4"/>
    </row>
    <row r="107" spans="1:19" x14ac:dyDescent="0.25">
      <c r="A107" s="876"/>
      <c r="B107" s="4"/>
      <c r="C107" s="23"/>
      <c r="D107" s="23"/>
      <c r="E107" s="23"/>
      <c r="F107" s="23"/>
      <c r="G107" s="23"/>
      <c r="H107" s="23"/>
      <c r="I107" s="23"/>
      <c r="J107" s="23"/>
      <c r="K107" s="23"/>
      <c r="L107" s="23"/>
      <c r="M107" s="23"/>
      <c r="N107" s="4"/>
      <c r="O107" s="23"/>
      <c r="P107" s="23"/>
      <c r="Q107" s="4"/>
      <c r="R107" s="4"/>
      <c r="S107" s="4"/>
    </row>
    <row r="108" spans="1:19" x14ac:dyDescent="0.25">
      <c r="A108" s="876"/>
      <c r="B108" s="4"/>
      <c r="C108" s="23"/>
      <c r="D108" s="23"/>
      <c r="E108" s="23"/>
      <c r="F108" s="23"/>
      <c r="G108" s="23"/>
      <c r="H108" s="23"/>
      <c r="I108" s="23"/>
      <c r="J108" s="23"/>
      <c r="K108" s="23"/>
      <c r="L108" s="23"/>
      <c r="M108" s="23"/>
      <c r="N108" s="4"/>
      <c r="O108" s="23"/>
      <c r="P108" s="23"/>
      <c r="Q108" s="4"/>
      <c r="R108" s="4"/>
      <c r="S108" s="4"/>
    </row>
    <row r="109" spans="1:19" x14ac:dyDescent="0.25">
      <c r="A109" s="876"/>
      <c r="B109" s="4"/>
      <c r="C109" s="23"/>
      <c r="D109" s="23"/>
      <c r="E109" s="23"/>
      <c r="F109" s="23"/>
      <c r="G109" s="23"/>
      <c r="H109" s="23"/>
      <c r="I109" s="23"/>
      <c r="J109" s="23"/>
      <c r="K109" s="23"/>
      <c r="L109" s="23"/>
      <c r="M109" s="23"/>
      <c r="N109" s="4"/>
      <c r="O109" s="23"/>
      <c r="P109" s="23"/>
      <c r="Q109" s="4"/>
      <c r="R109" s="4"/>
      <c r="S109" s="4"/>
    </row>
    <row r="110" spans="1:19" x14ac:dyDescent="0.25">
      <c r="A110" s="876"/>
      <c r="B110" s="4"/>
      <c r="C110" s="23"/>
      <c r="D110" s="23"/>
      <c r="E110" s="23"/>
      <c r="F110" s="23"/>
      <c r="G110" s="23"/>
      <c r="H110" s="23"/>
      <c r="I110" s="23"/>
      <c r="J110" s="23"/>
      <c r="K110" s="23"/>
      <c r="L110" s="23"/>
      <c r="M110" s="23"/>
      <c r="N110" s="4"/>
      <c r="O110" s="23"/>
      <c r="P110" s="23"/>
      <c r="Q110" s="4"/>
      <c r="R110" s="4"/>
      <c r="S110" s="4"/>
    </row>
    <row r="111" spans="1:19" x14ac:dyDescent="0.25">
      <c r="A111" s="876"/>
      <c r="B111" s="4"/>
      <c r="C111" s="23"/>
      <c r="D111" s="23"/>
      <c r="E111" s="23"/>
      <c r="F111" s="23"/>
      <c r="G111" s="23"/>
      <c r="H111" s="23"/>
      <c r="I111" s="23"/>
      <c r="J111" s="23"/>
      <c r="K111" s="23"/>
      <c r="L111" s="23"/>
      <c r="M111" s="23"/>
      <c r="N111" s="4"/>
      <c r="O111" s="23"/>
      <c r="P111" s="23"/>
      <c r="Q111" s="4"/>
      <c r="R111" s="4"/>
      <c r="S111" s="4"/>
    </row>
    <row r="112" spans="1:19" x14ac:dyDescent="0.25">
      <c r="A112" s="876"/>
      <c r="B112" s="4"/>
      <c r="C112" s="23"/>
      <c r="D112" s="23"/>
      <c r="E112" s="23"/>
      <c r="F112" s="23"/>
      <c r="G112" s="23"/>
      <c r="H112" s="23"/>
      <c r="I112" s="23"/>
      <c r="J112" s="23"/>
      <c r="K112" s="23"/>
      <c r="L112" s="23"/>
      <c r="M112" s="23"/>
      <c r="N112" s="4"/>
      <c r="O112" s="23"/>
      <c r="P112" s="23"/>
      <c r="Q112" s="4"/>
      <c r="R112" s="4"/>
      <c r="S112" s="4"/>
    </row>
    <row r="113" spans="1:19" x14ac:dyDescent="0.25">
      <c r="A113" s="876"/>
      <c r="B113" s="4"/>
      <c r="C113" s="23"/>
      <c r="D113" s="23"/>
      <c r="E113" s="23"/>
      <c r="F113" s="23"/>
      <c r="G113" s="23"/>
      <c r="H113" s="23"/>
      <c r="I113" s="23"/>
      <c r="J113" s="23"/>
      <c r="K113" s="23"/>
      <c r="L113" s="23"/>
      <c r="M113" s="23"/>
      <c r="N113" s="4"/>
      <c r="O113" s="23"/>
      <c r="P113" s="23"/>
      <c r="Q113" s="4"/>
      <c r="R113" s="4"/>
      <c r="S113" s="4"/>
    </row>
    <row r="114" spans="1:19" x14ac:dyDescent="0.25">
      <c r="A114" s="876"/>
      <c r="B114" s="4"/>
      <c r="C114" s="23"/>
      <c r="D114" s="23"/>
      <c r="E114" s="23"/>
      <c r="F114" s="23"/>
      <c r="G114" s="23"/>
      <c r="H114" s="23"/>
      <c r="I114" s="23"/>
      <c r="J114" s="23"/>
      <c r="K114" s="23"/>
      <c r="L114" s="23"/>
      <c r="M114" s="23"/>
      <c r="N114" s="4"/>
      <c r="O114" s="23"/>
      <c r="P114" s="23"/>
      <c r="Q114" s="4"/>
      <c r="R114" s="4"/>
      <c r="S114" s="4"/>
    </row>
    <row r="115" spans="1:19" x14ac:dyDescent="0.25">
      <c r="A115" s="876"/>
      <c r="B115" s="4"/>
      <c r="C115" s="23"/>
      <c r="D115" s="23"/>
      <c r="E115" s="23"/>
      <c r="F115" s="23"/>
      <c r="G115" s="23"/>
      <c r="H115" s="23"/>
      <c r="I115" s="23"/>
      <c r="J115" s="23"/>
      <c r="K115" s="23"/>
      <c r="L115" s="23"/>
      <c r="M115" s="23"/>
      <c r="N115" s="4"/>
      <c r="O115" s="23"/>
      <c r="P115" s="23"/>
      <c r="Q115" s="4"/>
      <c r="R115" s="4"/>
      <c r="S115" s="4"/>
    </row>
    <row r="116" spans="1:19" x14ac:dyDescent="0.25">
      <c r="A116" s="876"/>
      <c r="B116" s="4"/>
      <c r="C116" s="23"/>
      <c r="D116" s="23"/>
      <c r="E116" s="23"/>
      <c r="F116" s="23"/>
      <c r="G116" s="23"/>
      <c r="H116" s="23"/>
      <c r="I116" s="23"/>
      <c r="J116" s="23"/>
      <c r="K116" s="23"/>
      <c r="L116" s="23"/>
      <c r="M116" s="23"/>
      <c r="N116" s="4"/>
      <c r="O116" s="23"/>
      <c r="P116" s="23"/>
      <c r="Q116" s="4"/>
      <c r="R116" s="4"/>
      <c r="S116" s="4"/>
    </row>
    <row r="117" spans="1:19" x14ac:dyDescent="0.25">
      <c r="A117" s="876"/>
      <c r="B117" s="4"/>
      <c r="C117" s="23"/>
      <c r="D117" s="23"/>
      <c r="E117" s="23"/>
      <c r="F117" s="23"/>
      <c r="G117" s="23"/>
      <c r="H117" s="23"/>
      <c r="I117" s="23"/>
      <c r="J117" s="23"/>
      <c r="K117" s="23"/>
      <c r="L117" s="23"/>
      <c r="M117" s="23"/>
      <c r="N117" s="4"/>
      <c r="O117" s="23"/>
      <c r="P117" s="23"/>
      <c r="Q117" s="4"/>
      <c r="R117" s="4"/>
      <c r="S117" s="4"/>
    </row>
    <row r="118" spans="1:19" x14ac:dyDescent="0.25">
      <c r="A118" s="876"/>
      <c r="B118" s="4"/>
      <c r="C118" s="23"/>
      <c r="D118" s="23"/>
      <c r="E118" s="23"/>
      <c r="F118" s="23"/>
      <c r="G118" s="23"/>
      <c r="H118" s="23"/>
      <c r="I118" s="23"/>
      <c r="J118" s="23"/>
      <c r="K118" s="23"/>
      <c r="L118" s="23"/>
      <c r="M118" s="23"/>
      <c r="N118" s="4"/>
      <c r="O118" s="23"/>
      <c r="P118" s="23"/>
      <c r="Q118" s="4"/>
      <c r="R118" s="4"/>
      <c r="S118" s="4"/>
    </row>
    <row r="119" spans="1:19" x14ac:dyDescent="0.25">
      <c r="A119" s="876"/>
      <c r="B119" s="4"/>
      <c r="C119" s="23"/>
      <c r="D119" s="23"/>
      <c r="E119" s="23"/>
      <c r="F119" s="23"/>
      <c r="G119" s="23"/>
      <c r="H119" s="23"/>
      <c r="I119" s="23"/>
      <c r="J119" s="23"/>
      <c r="K119" s="23"/>
      <c r="L119" s="23"/>
      <c r="M119" s="23"/>
      <c r="N119" s="4"/>
      <c r="O119" s="23"/>
      <c r="P119" s="23"/>
      <c r="Q119" s="4"/>
      <c r="R119" s="4"/>
      <c r="S119" s="4"/>
    </row>
    <row r="120" spans="1:19" x14ac:dyDescent="0.25">
      <c r="A120" s="876"/>
      <c r="B120" s="4"/>
      <c r="C120" s="23"/>
      <c r="D120" s="23"/>
      <c r="E120" s="23"/>
      <c r="F120" s="23"/>
      <c r="G120" s="23"/>
      <c r="H120" s="23"/>
      <c r="I120" s="23"/>
      <c r="J120" s="23"/>
      <c r="K120" s="23"/>
      <c r="L120" s="23"/>
      <c r="M120" s="23"/>
      <c r="N120" s="4"/>
      <c r="O120" s="23"/>
      <c r="P120" s="23"/>
      <c r="Q120" s="4"/>
      <c r="R120" s="4"/>
      <c r="S120" s="4"/>
    </row>
    <row r="121" spans="1:19" x14ac:dyDescent="0.25">
      <c r="C121" s="114"/>
    </row>
    <row r="122" spans="1:19" x14ac:dyDescent="0.25">
      <c r="C122" s="114"/>
    </row>
    <row r="123" spans="1:19" x14ac:dyDescent="0.25">
      <c r="C123" s="114"/>
    </row>
    <row r="124" spans="1:19" x14ac:dyDescent="0.25">
      <c r="C124" s="114"/>
    </row>
    <row r="125" spans="1:19" x14ac:dyDescent="0.25">
      <c r="C125" s="114"/>
    </row>
    <row r="126" spans="1:19" x14ac:dyDescent="0.25">
      <c r="C126" s="114"/>
    </row>
    <row r="127" spans="1:19" x14ac:dyDescent="0.25">
      <c r="C127" s="114"/>
    </row>
    <row r="128" spans="1:19" x14ac:dyDescent="0.25">
      <c r="C128" s="114"/>
    </row>
    <row r="129" spans="3:3" x14ac:dyDescent="0.25">
      <c r="C129" s="114"/>
    </row>
    <row r="130" spans="3:3" x14ac:dyDescent="0.25">
      <c r="C130" s="114"/>
    </row>
    <row r="131" spans="3:3" x14ac:dyDescent="0.25">
      <c r="C131" s="114"/>
    </row>
    <row r="132" spans="3:3" x14ac:dyDescent="0.25">
      <c r="C132" s="114"/>
    </row>
    <row r="133" spans="3:3" x14ac:dyDescent="0.25">
      <c r="C133" s="114"/>
    </row>
    <row r="134" spans="3:3" x14ac:dyDescent="0.25">
      <c r="C134" s="114"/>
    </row>
    <row r="135" spans="3:3" x14ac:dyDescent="0.25">
      <c r="C135" s="114"/>
    </row>
    <row r="136" spans="3:3" x14ac:dyDescent="0.25">
      <c r="C136" s="114"/>
    </row>
    <row r="137" spans="3:3" x14ac:dyDescent="0.25">
      <c r="C137" s="114"/>
    </row>
    <row r="138" spans="3:3" x14ac:dyDescent="0.25">
      <c r="C138" s="114"/>
    </row>
    <row r="139" spans="3:3" x14ac:dyDescent="0.25">
      <c r="C139" s="114"/>
    </row>
    <row r="140" spans="3:3" x14ac:dyDescent="0.25">
      <c r="C140" s="114"/>
    </row>
    <row r="141" spans="3:3" x14ac:dyDescent="0.25">
      <c r="C141" s="114"/>
    </row>
    <row r="142" spans="3:3" x14ac:dyDescent="0.25">
      <c r="C142" s="114"/>
    </row>
    <row r="143" spans="3:3" x14ac:dyDescent="0.25">
      <c r="C143" s="114"/>
    </row>
    <row r="144" spans="3:3" x14ac:dyDescent="0.25">
      <c r="C144" s="114"/>
    </row>
    <row r="145" spans="3:3" x14ac:dyDescent="0.25">
      <c r="C145" s="114"/>
    </row>
    <row r="146" spans="3:3" x14ac:dyDescent="0.25">
      <c r="C146" s="114"/>
    </row>
    <row r="147" spans="3:3" x14ac:dyDescent="0.25">
      <c r="C147" s="114"/>
    </row>
    <row r="148" spans="3:3" x14ac:dyDescent="0.25">
      <c r="C148" s="114"/>
    </row>
    <row r="149" spans="3:3" x14ac:dyDescent="0.25">
      <c r="C149" s="114"/>
    </row>
    <row r="150" spans="3:3" x14ac:dyDescent="0.25">
      <c r="C150" s="114"/>
    </row>
    <row r="151" spans="3:3" x14ac:dyDescent="0.25">
      <c r="C151" s="114"/>
    </row>
    <row r="152" spans="3:3" x14ac:dyDescent="0.25">
      <c r="C152" s="114"/>
    </row>
    <row r="153" spans="3:3" x14ac:dyDescent="0.25">
      <c r="C153" s="114"/>
    </row>
    <row r="154" spans="3:3" x14ac:dyDescent="0.25">
      <c r="C154" s="114"/>
    </row>
    <row r="155" spans="3:3" x14ac:dyDescent="0.25">
      <c r="C155" s="114"/>
    </row>
    <row r="156" spans="3:3" x14ac:dyDescent="0.25">
      <c r="C156" s="114"/>
    </row>
    <row r="157" spans="3:3" x14ac:dyDescent="0.25">
      <c r="C157" s="114"/>
    </row>
    <row r="158" spans="3:3" x14ac:dyDescent="0.25">
      <c r="C158" s="114"/>
    </row>
    <row r="159" spans="3:3" x14ac:dyDescent="0.25">
      <c r="C159" s="114"/>
    </row>
    <row r="160" spans="3:3" x14ac:dyDescent="0.25">
      <c r="C160" s="114"/>
    </row>
    <row r="161" spans="3:3" x14ac:dyDescent="0.25">
      <c r="C161" s="114"/>
    </row>
    <row r="162" spans="3:3" x14ac:dyDescent="0.25">
      <c r="C162" s="114"/>
    </row>
    <row r="163" spans="3:3" x14ac:dyDescent="0.25">
      <c r="C163" s="114"/>
    </row>
    <row r="164" spans="3:3" x14ac:dyDescent="0.25">
      <c r="C164" s="114"/>
    </row>
    <row r="165" spans="3:3" x14ac:dyDescent="0.25">
      <c r="C165" s="114"/>
    </row>
    <row r="166" spans="3:3" x14ac:dyDescent="0.25">
      <c r="C166" s="114"/>
    </row>
    <row r="167" spans="3:3" x14ac:dyDescent="0.25">
      <c r="C167" s="114"/>
    </row>
    <row r="168" spans="3:3" x14ac:dyDescent="0.25">
      <c r="C168" s="114"/>
    </row>
    <row r="169" spans="3:3" x14ac:dyDescent="0.25">
      <c r="C169" s="114"/>
    </row>
    <row r="170" spans="3:3" x14ac:dyDescent="0.25">
      <c r="C170" s="114"/>
    </row>
    <row r="171" spans="3:3" x14ac:dyDescent="0.25">
      <c r="C171" s="114"/>
    </row>
    <row r="172" spans="3:3" x14ac:dyDescent="0.25">
      <c r="C172" s="114"/>
    </row>
    <row r="173" spans="3:3" x14ac:dyDescent="0.25">
      <c r="C173" s="114"/>
    </row>
    <row r="174" spans="3:3" x14ac:dyDescent="0.25">
      <c r="C174" s="114"/>
    </row>
    <row r="175" spans="3:3" x14ac:dyDescent="0.25">
      <c r="C175" s="114"/>
    </row>
    <row r="176" spans="3:3" x14ac:dyDescent="0.25">
      <c r="C176" s="114"/>
    </row>
  </sheetData>
  <phoneticPr fontId="0" type="noConversion"/>
  <hyperlinks>
    <hyperlink ref="A1" location="'420 DPW'!A1" display="Main 440" xr:uid="{00000000-0004-0000-2500-000000000000}"/>
    <hyperlink ref="B1" location="'Table of Contents'!A1" display="TOC" xr:uid="{00000000-0004-0000-2500-000001000000}"/>
  </hyperlinks>
  <pageMargins left="0.75" right="0.75" top="1" bottom="1" header="0.5" footer="0.5"/>
  <pageSetup orientation="landscape" horizontalDpi="300" verticalDpi="300" r:id="rId1"/>
  <headerFooter alignWithMargins="0">
    <oddFooter>&amp;L&amp;D     &amp;T&amp;C&amp;F&amp;R&amp;A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92D050"/>
    <pageSetUpPr fitToPage="1"/>
  </sheetPr>
  <dimension ref="A1:T178"/>
  <sheetViews>
    <sheetView topLeftCell="A2" workbookViewId="0">
      <selection activeCell="P2" sqref="P1:P1048576"/>
    </sheetView>
  </sheetViews>
  <sheetFormatPr defaultRowHeight="13.2" x14ac:dyDescent="0.25"/>
  <cols>
    <col min="1" max="1" width="8.77734375" style="885"/>
    <col min="2" max="2" width="36.6640625" customWidth="1"/>
    <col min="3" max="3" width="14.44140625" style="1" hidden="1" customWidth="1"/>
    <col min="4" max="10" width="14.44140625" style="114" hidden="1" customWidth="1"/>
    <col min="11" max="13" width="14.44140625" style="114" customWidth="1"/>
    <col min="14" max="14" width="14.44140625" customWidth="1"/>
    <col min="15" max="16" width="14.44140625" style="1" customWidth="1"/>
    <col min="17" max="19" width="14.44140625" customWidth="1"/>
    <col min="20" max="20" width="14.6640625" style="2" customWidth="1"/>
  </cols>
  <sheetData>
    <row r="1" spans="1:19" x14ac:dyDescent="0.25">
      <c r="A1" s="874" t="s">
        <v>1021</v>
      </c>
      <c r="B1" s="371" t="s">
        <v>1348</v>
      </c>
      <c r="P1"/>
    </row>
    <row r="2" spans="1:19" ht="13.8" x14ac:dyDescent="0.25">
      <c r="A2" s="875" t="s">
        <v>262</v>
      </c>
      <c r="B2" s="45"/>
      <c r="E2" s="141"/>
      <c r="I2" s="141" t="s">
        <v>257</v>
      </c>
      <c r="J2" s="141"/>
      <c r="K2" s="141"/>
      <c r="L2" s="141"/>
      <c r="M2" s="141"/>
      <c r="N2" s="61" t="s">
        <v>302</v>
      </c>
      <c r="P2" s="46" t="s">
        <v>496</v>
      </c>
    </row>
    <row r="3" spans="1:19" ht="13.8" thickBot="1" x14ac:dyDescent="0.3">
      <c r="A3" s="876"/>
      <c r="B3" s="4"/>
      <c r="C3" s="23"/>
      <c r="D3" s="23"/>
      <c r="E3" s="23"/>
      <c r="F3" s="23"/>
      <c r="G3" s="23"/>
      <c r="H3" s="23"/>
      <c r="I3" s="23"/>
      <c r="J3" s="23"/>
      <c r="K3" s="23"/>
      <c r="L3" s="23"/>
      <c r="M3" s="23"/>
      <c r="N3" s="4"/>
      <c r="O3" s="23"/>
      <c r="P3" s="4"/>
      <c r="S3" s="4"/>
    </row>
    <row r="4" spans="1:19" ht="13.8" thickTop="1" x14ac:dyDescent="0.25">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t="s">
        <v>910</v>
      </c>
    </row>
    <row r="5" spans="1:19" x14ac:dyDescent="0.25">
      <c r="A5" s="878"/>
      <c r="B5" s="209"/>
      <c r="C5" s="127"/>
      <c r="D5" s="87"/>
      <c r="E5" s="113"/>
      <c r="F5" s="87"/>
      <c r="G5" s="87"/>
      <c r="H5" s="113"/>
      <c r="I5" s="290"/>
      <c r="J5" s="290"/>
      <c r="K5" s="290"/>
      <c r="L5" s="290"/>
      <c r="M5" s="290"/>
      <c r="N5" s="113" t="s">
        <v>515</v>
      </c>
      <c r="O5" s="88" t="s">
        <v>7</v>
      </c>
      <c r="P5" s="203" t="s">
        <v>782</v>
      </c>
    </row>
    <row r="6" spans="1:19" x14ac:dyDescent="0.25">
      <c r="A6" s="878"/>
      <c r="B6" s="209"/>
      <c r="C6" s="127"/>
      <c r="D6" s="127"/>
      <c r="E6" s="127"/>
      <c r="F6" s="127"/>
      <c r="G6" s="127"/>
      <c r="H6" s="127"/>
      <c r="I6" s="88"/>
      <c r="J6" s="88"/>
      <c r="K6" s="88"/>
      <c r="L6" s="88"/>
      <c r="M6" s="88"/>
      <c r="N6" s="127"/>
      <c r="O6" s="88" t="s">
        <v>8</v>
      </c>
      <c r="P6" s="47" t="s">
        <v>543</v>
      </c>
    </row>
    <row r="7" spans="1:19"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44561</v>
      </c>
      <c r="O7" s="9" t="s">
        <v>9</v>
      </c>
      <c r="P7" s="9" t="s">
        <v>546</v>
      </c>
    </row>
    <row r="8" spans="1:19" ht="13.8" thickTop="1" x14ac:dyDescent="0.25">
      <c r="A8" s="908"/>
      <c r="B8" s="210"/>
      <c r="C8" s="132"/>
      <c r="D8" s="18"/>
      <c r="E8" s="18"/>
      <c r="F8" s="18"/>
      <c r="G8" s="18"/>
      <c r="H8" s="18"/>
      <c r="I8" s="18"/>
      <c r="J8" s="18"/>
      <c r="K8" s="19"/>
      <c r="L8" s="19"/>
      <c r="M8" s="19"/>
      <c r="N8" s="18"/>
      <c r="O8" s="19"/>
      <c r="P8" s="19"/>
    </row>
    <row r="9" spans="1:19" x14ac:dyDescent="0.25">
      <c r="A9" s="908">
        <v>5124</v>
      </c>
      <c r="B9" s="110" t="s">
        <v>47</v>
      </c>
      <c r="C9" s="132">
        <v>640</v>
      </c>
      <c r="D9" s="18">
        <v>305</v>
      </c>
      <c r="E9" s="18">
        <v>335</v>
      </c>
      <c r="F9" s="18">
        <v>135</v>
      </c>
      <c r="G9" s="18"/>
      <c r="H9" s="18">
        <v>0</v>
      </c>
      <c r="I9" s="126">
        <v>0</v>
      </c>
      <c r="J9" s="126"/>
      <c r="K9" s="124">
        <v>2000</v>
      </c>
      <c r="L9" s="126"/>
      <c r="M9" s="124">
        <v>2000</v>
      </c>
      <c r="N9" s="18"/>
      <c r="O9" s="124">
        <v>2000</v>
      </c>
      <c r="P9" s="124"/>
    </row>
    <row r="10" spans="1:19" x14ac:dyDescent="0.25">
      <c r="A10" s="881">
        <v>5132</v>
      </c>
      <c r="B10" s="63" t="s">
        <v>191</v>
      </c>
      <c r="C10" s="130">
        <v>40717.339999999997</v>
      </c>
      <c r="D10" s="13">
        <f>1377.54+63082.85</f>
        <v>64460.39</v>
      </c>
      <c r="E10" s="13">
        <v>82691.58</v>
      </c>
      <c r="F10" s="13">
        <v>22371.74</v>
      </c>
      <c r="G10" s="13">
        <v>68334</v>
      </c>
      <c r="H10" s="13">
        <v>70028.600000000006</v>
      </c>
      <c r="I10" s="144">
        <v>55481.56</v>
      </c>
      <c r="J10" s="144">
        <v>39043.360000000001</v>
      </c>
      <c r="K10" s="122">
        <v>77000</v>
      </c>
      <c r="L10" s="144">
        <v>40754.160000000003</v>
      </c>
      <c r="M10" s="122">
        <v>77000</v>
      </c>
      <c r="N10" s="13">
        <v>4735.3999999999996</v>
      </c>
      <c r="O10" s="122">
        <v>77000</v>
      </c>
      <c r="P10" s="122"/>
    </row>
    <row r="11" spans="1:19" ht="13.8" thickBot="1" x14ac:dyDescent="0.3">
      <c r="A11" s="881">
        <v>5142</v>
      </c>
      <c r="B11" s="63" t="s">
        <v>542</v>
      </c>
      <c r="C11" s="250">
        <v>12342.85</v>
      </c>
      <c r="D11" s="37">
        <v>12942.86</v>
      </c>
      <c r="E11" s="37">
        <v>12719.9</v>
      </c>
      <c r="F11" s="37">
        <v>8482.24</v>
      </c>
      <c r="G11" s="37">
        <v>14840</v>
      </c>
      <c r="H11" s="37">
        <v>14320</v>
      </c>
      <c r="I11" s="233">
        <v>14040</v>
      </c>
      <c r="J11" s="233">
        <v>15720</v>
      </c>
      <c r="K11" s="125">
        <f>(170*11)*15</f>
        <v>28050</v>
      </c>
      <c r="L11" s="233">
        <v>15570</v>
      </c>
      <c r="M11" s="125">
        <f>(170*11)*15</f>
        <v>28050</v>
      </c>
      <c r="N11" s="37">
        <v>2960</v>
      </c>
      <c r="O11" s="125">
        <f>((170*11)*15)-6000</f>
        <v>22050</v>
      </c>
      <c r="P11" s="125"/>
    </row>
    <row r="12" spans="1:19" x14ac:dyDescent="0.25">
      <c r="A12" s="881"/>
      <c r="B12" s="64" t="s">
        <v>130</v>
      </c>
      <c r="C12" s="710">
        <f t="shared" ref="C12:P12" si="0">SUM(C9:C11)</f>
        <v>53700.189999999995</v>
      </c>
      <c r="D12" s="32">
        <f t="shared" si="0"/>
        <v>77708.25</v>
      </c>
      <c r="E12" s="32">
        <f t="shared" si="0"/>
        <v>95746.48</v>
      </c>
      <c r="F12" s="32">
        <f t="shared" ref="F12:L12" si="1">SUM(F9:F11)</f>
        <v>30988.980000000003</v>
      </c>
      <c r="G12" s="32">
        <f t="shared" si="1"/>
        <v>83174</v>
      </c>
      <c r="H12" s="32">
        <f t="shared" si="1"/>
        <v>84348.6</v>
      </c>
      <c r="I12" s="322">
        <f t="shared" si="1"/>
        <v>69521.56</v>
      </c>
      <c r="J12" s="322">
        <f t="shared" si="1"/>
        <v>54763.360000000001</v>
      </c>
      <c r="K12" s="296">
        <f t="shared" si="1"/>
        <v>107050</v>
      </c>
      <c r="L12" s="322">
        <f t="shared" si="1"/>
        <v>56324.160000000003</v>
      </c>
      <c r="M12" s="296">
        <f>SUM(M9:M11)</f>
        <v>107050</v>
      </c>
      <c r="N12" s="32">
        <f t="shared" si="0"/>
        <v>7695.4</v>
      </c>
      <c r="O12" s="296">
        <f>SUM(O9:O11)</f>
        <v>101050</v>
      </c>
      <c r="P12" s="296">
        <f t="shared" si="0"/>
        <v>0</v>
      </c>
    </row>
    <row r="13" spans="1:19" x14ac:dyDescent="0.25">
      <c r="A13" s="881"/>
      <c r="B13" s="63"/>
      <c r="C13" s="130"/>
      <c r="D13" s="13"/>
      <c r="E13" s="13"/>
      <c r="F13" s="13"/>
      <c r="G13" s="13"/>
      <c r="H13" s="13"/>
      <c r="I13" s="144"/>
      <c r="J13" s="144"/>
      <c r="K13" s="122"/>
      <c r="L13" s="144"/>
      <c r="M13" s="122"/>
      <c r="N13" s="13"/>
      <c r="O13" s="122"/>
      <c r="P13" s="122"/>
    </row>
    <row r="14" spans="1:19" x14ac:dyDescent="0.25">
      <c r="A14" s="881">
        <v>5350</v>
      </c>
      <c r="B14" s="63" t="s">
        <v>442</v>
      </c>
      <c r="C14" s="130"/>
      <c r="D14" s="13">
        <v>0</v>
      </c>
      <c r="E14" s="13"/>
      <c r="F14" s="13"/>
      <c r="G14" s="13"/>
      <c r="H14" s="13"/>
      <c r="I14" s="144">
        <v>0</v>
      </c>
      <c r="J14" s="144"/>
      <c r="K14" s="122">
        <v>1000</v>
      </c>
      <c r="L14" s="144"/>
      <c r="M14" s="122">
        <v>1000</v>
      </c>
      <c r="N14" s="13">
        <v>600</v>
      </c>
      <c r="O14" s="122">
        <v>1000</v>
      </c>
      <c r="P14" s="122"/>
    </row>
    <row r="15" spans="1:19" x14ac:dyDescent="0.25">
      <c r="A15" s="881">
        <v>5532</v>
      </c>
      <c r="B15" s="63" t="s">
        <v>212</v>
      </c>
      <c r="C15" s="130">
        <v>57995.07</v>
      </c>
      <c r="D15" s="18">
        <v>57239.44</v>
      </c>
      <c r="E15" s="18">
        <v>61212.41</v>
      </c>
      <c r="F15" s="18">
        <v>59100.23</v>
      </c>
      <c r="G15" s="18">
        <v>54605.77</v>
      </c>
      <c r="H15" s="18">
        <v>53550.54</v>
      </c>
      <c r="I15" s="126">
        <v>78251.64</v>
      </c>
      <c r="J15" s="126">
        <v>60127.33</v>
      </c>
      <c r="K15" s="124">
        <v>80000</v>
      </c>
      <c r="L15" s="126">
        <v>56865</v>
      </c>
      <c r="M15" s="124">
        <v>80000</v>
      </c>
      <c r="N15" s="13"/>
      <c r="O15" s="124">
        <v>80000</v>
      </c>
      <c r="P15" s="124"/>
    </row>
    <row r="16" spans="1:19" x14ac:dyDescent="0.25">
      <c r="A16" s="881">
        <v>5533</v>
      </c>
      <c r="B16" s="63" t="s">
        <v>213</v>
      </c>
      <c r="C16" s="250">
        <v>36656.76</v>
      </c>
      <c r="D16" s="18">
        <v>60400.06</v>
      </c>
      <c r="E16" s="18">
        <v>52174.22</v>
      </c>
      <c r="F16" s="18">
        <v>21420.54</v>
      </c>
      <c r="G16" s="18">
        <v>39101.39</v>
      </c>
      <c r="H16" s="18">
        <v>49696.36</v>
      </c>
      <c r="I16" s="126">
        <v>37999.449999999997</v>
      </c>
      <c r="J16" s="126">
        <v>37589.589999999997</v>
      </c>
      <c r="K16" s="124">
        <v>65000</v>
      </c>
      <c r="L16" s="320">
        <v>6328.46</v>
      </c>
      <c r="M16" s="124">
        <v>56000</v>
      </c>
      <c r="N16" s="37"/>
      <c r="O16" s="124">
        <v>56000</v>
      </c>
      <c r="P16" s="124"/>
    </row>
    <row r="17" spans="1:19" ht="13.8" thickBot="1" x14ac:dyDescent="0.3">
      <c r="A17" s="881">
        <v>5590</v>
      </c>
      <c r="B17" s="63" t="s">
        <v>700</v>
      </c>
      <c r="C17" s="131">
        <v>12092.28</v>
      </c>
      <c r="D17" s="15">
        <v>14792.81</v>
      </c>
      <c r="E17" s="15">
        <v>10111.780000000001</v>
      </c>
      <c r="F17" s="15">
        <v>12249.29</v>
      </c>
      <c r="G17" s="15">
        <v>28447.74</v>
      </c>
      <c r="H17" s="15">
        <v>35002.49</v>
      </c>
      <c r="I17" s="318">
        <v>14368.52</v>
      </c>
      <c r="J17" s="318">
        <v>30839.51</v>
      </c>
      <c r="K17" s="123">
        <v>25000</v>
      </c>
      <c r="L17" s="318">
        <v>41761.58</v>
      </c>
      <c r="M17" s="123">
        <v>34000</v>
      </c>
      <c r="N17" s="15">
        <v>14734.09</v>
      </c>
      <c r="O17" s="123">
        <v>40000</v>
      </c>
      <c r="P17" s="123"/>
    </row>
    <row r="18" spans="1:19" x14ac:dyDescent="0.25">
      <c r="A18" s="881"/>
      <c r="B18" s="64" t="s">
        <v>449</v>
      </c>
      <c r="C18" s="132">
        <f t="shared" ref="C18:P18" si="2">SUM(C14:C17)</f>
        <v>106744.11</v>
      </c>
      <c r="D18" s="18">
        <f t="shared" si="2"/>
        <v>132432.31</v>
      </c>
      <c r="E18" s="18">
        <f t="shared" si="2"/>
        <v>123498.41</v>
      </c>
      <c r="F18" s="18">
        <f>SUM(F14:F17)</f>
        <v>92770.06</v>
      </c>
      <c r="G18" s="18">
        <f>SUM(G14:G17)</f>
        <v>122154.90000000001</v>
      </c>
      <c r="H18" s="18">
        <f>SUM(H14:H17)</f>
        <v>138249.38999999998</v>
      </c>
      <c r="I18" s="18">
        <f t="shared" si="2"/>
        <v>130619.61</v>
      </c>
      <c r="J18" s="18">
        <f t="shared" ref="J18" si="3">SUM(J14:J17)</f>
        <v>128556.43</v>
      </c>
      <c r="K18" s="249">
        <f>SUM(K14:K17)</f>
        <v>171000</v>
      </c>
      <c r="L18" s="126">
        <f t="shared" ref="L18:M18" si="4">SUM(L14:L17)</f>
        <v>104955.04000000001</v>
      </c>
      <c r="M18" s="249">
        <f t="shared" si="4"/>
        <v>171000</v>
      </c>
      <c r="N18" s="18">
        <f t="shared" si="2"/>
        <v>15334.09</v>
      </c>
      <c r="O18" s="249">
        <f>SUM(O14:O17)</f>
        <v>177000</v>
      </c>
      <c r="P18" s="249">
        <f t="shared" si="2"/>
        <v>0</v>
      </c>
    </row>
    <row r="19" spans="1:19" x14ac:dyDescent="0.25">
      <c r="A19" s="881"/>
      <c r="B19" s="12"/>
      <c r="C19" s="13"/>
      <c r="D19" s="13"/>
      <c r="E19" s="13"/>
      <c r="F19" s="13"/>
      <c r="G19" s="13"/>
      <c r="H19" s="13"/>
      <c r="I19" s="13"/>
      <c r="J19" s="13"/>
      <c r="K19" s="122"/>
      <c r="L19" s="144"/>
      <c r="M19" s="122"/>
      <c r="N19" s="13"/>
      <c r="O19" s="122"/>
      <c r="P19" s="122"/>
    </row>
    <row r="20" spans="1:19" ht="13.8" thickBot="1" x14ac:dyDescent="0.3">
      <c r="A20" s="882"/>
      <c r="B20" s="20" t="s">
        <v>303</v>
      </c>
      <c r="C20" s="21">
        <f t="shared" ref="C20:O20" si="5">+C18+C12</f>
        <v>160444.29999999999</v>
      </c>
      <c r="D20" s="21">
        <f t="shared" si="5"/>
        <v>210140.56</v>
      </c>
      <c r="E20" s="21">
        <f t="shared" si="5"/>
        <v>219244.89</v>
      </c>
      <c r="F20" s="21">
        <f>+F18+F12</f>
        <v>123759.04000000001</v>
      </c>
      <c r="G20" s="21">
        <f>+G18+G12</f>
        <v>205328.90000000002</v>
      </c>
      <c r="H20" s="21">
        <f>+H18+H12</f>
        <v>222597.99</v>
      </c>
      <c r="I20" s="21">
        <f t="shared" si="5"/>
        <v>200141.16999999998</v>
      </c>
      <c r="J20" s="21">
        <f t="shared" ref="J20" si="6">+J18+J12</f>
        <v>183319.78999999998</v>
      </c>
      <c r="K20" s="22">
        <f t="shared" ref="K20:M20" si="7">+K18+K12</f>
        <v>278050</v>
      </c>
      <c r="L20" s="21">
        <f t="shared" si="7"/>
        <v>161279.20000000001</v>
      </c>
      <c r="M20" s="22">
        <f t="shared" si="7"/>
        <v>278050</v>
      </c>
      <c r="N20" s="21">
        <f t="shared" si="5"/>
        <v>23029.489999999998</v>
      </c>
      <c r="O20" s="22">
        <f t="shared" si="5"/>
        <v>278050</v>
      </c>
      <c r="P20" s="22">
        <f>+O20</f>
        <v>278050</v>
      </c>
    </row>
    <row r="21" spans="1:19" ht="13.8" thickTop="1" x14ac:dyDescent="0.25">
      <c r="A21" s="66">
        <v>44623</v>
      </c>
      <c r="B21" s="4" t="s">
        <v>1914</v>
      </c>
      <c r="C21" s="23"/>
      <c r="D21" s="23"/>
      <c r="E21" s="23" t="s">
        <v>1901</v>
      </c>
      <c r="F21" s="23"/>
      <c r="G21" s="23"/>
      <c r="H21" s="23"/>
      <c r="I21" s="23"/>
      <c r="J21" s="23"/>
      <c r="K21" s="23"/>
      <c r="L21" s="23"/>
      <c r="M21" s="23"/>
      <c r="N21" s="27"/>
      <c r="O21" s="23"/>
      <c r="P21" s="23"/>
      <c r="Q21" s="27"/>
      <c r="R21" s="27"/>
      <c r="S21" s="27"/>
    </row>
    <row r="22" spans="1:19" ht="13.8" thickBot="1" x14ac:dyDescent="0.3">
      <c r="A22" s="905"/>
      <c r="B22" s="26"/>
      <c r="C22" s="24"/>
      <c r="D22" s="23"/>
      <c r="E22" s="23"/>
      <c r="F22" s="23"/>
      <c r="G22" s="23"/>
      <c r="H22" s="23"/>
      <c r="I22" s="23"/>
      <c r="J22" s="23"/>
      <c r="K22" s="23"/>
      <c r="L22" s="23"/>
      <c r="M22" s="23"/>
      <c r="N22" s="27"/>
      <c r="O22" s="23"/>
      <c r="P22" s="27"/>
      <c r="Q22" s="27"/>
      <c r="R22" s="27"/>
      <c r="S22" s="27"/>
    </row>
    <row r="23" spans="1:19" ht="13.8" thickTop="1" x14ac:dyDescent="0.25">
      <c r="A23" s="893"/>
      <c r="B23" s="452"/>
      <c r="C23" s="453" t="s">
        <v>127</v>
      </c>
      <c r="D23" s="454" t="s">
        <v>127</v>
      </c>
      <c r="E23" s="454" t="s">
        <v>127</v>
      </c>
      <c r="K23" s="455" t="s">
        <v>547</v>
      </c>
      <c r="L23" s="456" t="s">
        <v>9</v>
      </c>
      <c r="M23" s="457" t="s">
        <v>1073</v>
      </c>
      <c r="N23" s="456" t="s">
        <v>686</v>
      </c>
      <c r="O23" s="458"/>
      <c r="P23" s="457"/>
      <c r="Q23" s="27"/>
      <c r="R23" s="27"/>
      <c r="S23" s="27"/>
    </row>
    <row r="24" spans="1:19" ht="13.8" thickBot="1" x14ac:dyDescent="0.3">
      <c r="A24" s="894" t="s">
        <v>128</v>
      </c>
      <c r="B24" s="459"/>
      <c r="C24" s="460" t="s">
        <v>347</v>
      </c>
      <c r="D24" s="460" t="s">
        <v>722</v>
      </c>
      <c r="E24" s="461" t="s">
        <v>737</v>
      </c>
      <c r="K24" s="462" t="s">
        <v>909</v>
      </c>
      <c r="L24" s="462" t="s">
        <v>910</v>
      </c>
      <c r="M24" s="461" t="s">
        <v>1075</v>
      </c>
      <c r="N24" s="463" t="s">
        <v>1075</v>
      </c>
      <c r="O24" s="464" t="s">
        <v>1074</v>
      </c>
      <c r="P24" s="462"/>
      <c r="Q24" s="27"/>
      <c r="R24" s="27"/>
      <c r="S24" s="27"/>
    </row>
    <row r="25" spans="1:19" ht="13.8" thickTop="1" x14ac:dyDescent="0.25">
      <c r="A25" s="910"/>
      <c r="B25" s="480"/>
      <c r="C25" s="468"/>
      <c r="D25" s="468"/>
      <c r="E25" s="468"/>
      <c r="K25" s="469"/>
      <c r="L25" s="468"/>
      <c r="M25" s="500"/>
      <c r="N25" s="477"/>
      <c r="O25" s="470"/>
      <c r="P25" s="471"/>
      <c r="Q25" s="27"/>
      <c r="R25" s="27"/>
      <c r="S25" s="27"/>
    </row>
    <row r="26" spans="1:19" x14ac:dyDescent="0.25">
      <c r="A26" s="910">
        <v>5124</v>
      </c>
      <c r="B26" s="480" t="s">
        <v>47</v>
      </c>
      <c r="C26" s="468">
        <v>640</v>
      </c>
      <c r="D26" s="468">
        <v>305</v>
      </c>
      <c r="E26" s="468">
        <v>335</v>
      </c>
      <c r="K26" s="469">
        <f>+M9</f>
        <v>2000</v>
      </c>
      <c r="L26" s="496">
        <f>+O9</f>
        <v>2000</v>
      </c>
      <c r="M26" s="500">
        <f t="shared" ref="M26:M32" si="8">+L26-K26</f>
        <v>0</v>
      </c>
      <c r="N26" s="477" t="str">
        <f t="shared" ref="N26:N32" si="9">IF(K26+L26&lt;&gt;0,IF(K26&lt;&gt;0,IF(M26&lt;&gt;0,ROUND((+M26/K26),4),""),1),"")</f>
        <v/>
      </c>
      <c r="O26" s="470"/>
      <c r="P26" s="471"/>
      <c r="Q26" s="27"/>
      <c r="R26" s="27"/>
      <c r="S26" s="27"/>
    </row>
    <row r="27" spans="1:19" x14ac:dyDescent="0.25">
      <c r="A27" s="907">
        <v>5132</v>
      </c>
      <c r="B27" s="472" t="s">
        <v>191</v>
      </c>
      <c r="C27" s="476">
        <v>40717.339999999997</v>
      </c>
      <c r="D27" s="476">
        <f>1377.54+63082.85</f>
        <v>64460.39</v>
      </c>
      <c r="E27" s="476">
        <v>82691.58</v>
      </c>
      <c r="K27" s="469">
        <f>+M10</f>
        <v>77000</v>
      </c>
      <c r="L27" s="496">
        <f>+O10</f>
        <v>77000</v>
      </c>
      <c r="M27" s="500">
        <f t="shared" si="8"/>
        <v>0</v>
      </c>
      <c r="N27" s="477" t="str">
        <f t="shared" si="9"/>
        <v/>
      </c>
      <c r="O27" s="470"/>
      <c r="P27" s="471"/>
      <c r="Q27" s="27"/>
      <c r="R27" s="27"/>
      <c r="S27" s="27"/>
    </row>
    <row r="28" spans="1:19" x14ac:dyDescent="0.25">
      <c r="A28" s="907">
        <v>5142</v>
      </c>
      <c r="B28" s="472" t="s">
        <v>542</v>
      </c>
      <c r="C28" s="478">
        <v>12342.85</v>
      </c>
      <c r="D28" s="478">
        <v>12942.86</v>
      </c>
      <c r="E28" s="478">
        <v>12719.9</v>
      </c>
      <c r="K28" s="469">
        <f>+M11</f>
        <v>28050</v>
      </c>
      <c r="L28" s="496">
        <f>+O11</f>
        <v>22050</v>
      </c>
      <c r="M28" s="500">
        <f t="shared" si="8"/>
        <v>-6000</v>
      </c>
      <c r="N28" s="477">
        <f t="shared" si="9"/>
        <v>-0.21390000000000001</v>
      </c>
      <c r="O28" s="470"/>
      <c r="P28" s="471"/>
      <c r="Q28" s="27"/>
      <c r="R28" s="27"/>
      <c r="S28" s="27"/>
    </row>
    <row r="29" spans="1:19" x14ac:dyDescent="0.25">
      <c r="A29" s="907">
        <v>5350</v>
      </c>
      <c r="B29" s="472" t="s">
        <v>442</v>
      </c>
      <c r="C29" s="476"/>
      <c r="D29" s="476">
        <v>0</v>
      </c>
      <c r="E29" s="476"/>
      <c r="K29" s="475">
        <f>+M14</f>
        <v>1000</v>
      </c>
      <c r="L29" s="496">
        <f>+O14</f>
        <v>1000</v>
      </c>
      <c r="M29" s="500">
        <f t="shared" si="8"/>
        <v>0</v>
      </c>
      <c r="N29" s="477" t="str">
        <f t="shared" si="9"/>
        <v/>
      </c>
      <c r="O29" s="470"/>
      <c r="P29" s="471"/>
      <c r="Q29" s="27"/>
      <c r="R29" s="27"/>
      <c r="S29" s="27"/>
    </row>
    <row r="30" spans="1:19" x14ac:dyDescent="0.25">
      <c r="A30" s="907">
        <v>5532</v>
      </c>
      <c r="B30" s="472" t="s">
        <v>212</v>
      </c>
      <c r="C30" s="476">
        <v>57995.07</v>
      </c>
      <c r="D30" s="468">
        <v>57239.44</v>
      </c>
      <c r="E30" s="468">
        <v>61212.41</v>
      </c>
      <c r="K30" s="475">
        <f>+M15</f>
        <v>80000</v>
      </c>
      <c r="L30" s="496">
        <f>+O15</f>
        <v>80000</v>
      </c>
      <c r="M30" s="500">
        <f t="shared" si="8"/>
        <v>0</v>
      </c>
      <c r="N30" s="477" t="str">
        <f t="shared" si="9"/>
        <v/>
      </c>
      <c r="O30" s="470"/>
      <c r="P30" s="471"/>
      <c r="Q30" s="27"/>
      <c r="R30" s="27"/>
      <c r="S30" s="27"/>
    </row>
    <row r="31" spans="1:19" x14ac:dyDescent="0.25">
      <c r="A31" s="907">
        <v>5533</v>
      </c>
      <c r="B31" s="472" t="s">
        <v>213</v>
      </c>
      <c r="C31" s="478">
        <v>36656.76</v>
      </c>
      <c r="D31" s="468">
        <v>60400.06</v>
      </c>
      <c r="E31" s="468">
        <v>52174.22</v>
      </c>
      <c r="K31" s="475">
        <f>+M16</f>
        <v>56000</v>
      </c>
      <c r="L31" s="496">
        <f>+O16</f>
        <v>56000</v>
      </c>
      <c r="M31" s="500">
        <f t="shared" si="8"/>
        <v>0</v>
      </c>
      <c r="N31" s="477" t="str">
        <f t="shared" si="9"/>
        <v/>
      </c>
      <c r="O31" s="470"/>
      <c r="P31" s="471"/>
      <c r="Q31" s="27"/>
      <c r="R31" s="27"/>
      <c r="S31" s="27"/>
    </row>
    <row r="32" spans="1:19" ht="13.8" thickBot="1" x14ac:dyDescent="0.3">
      <c r="A32" s="907">
        <v>5590</v>
      </c>
      <c r="B32" s="472" t="s">
        <v>700</v>
      </c>
      <c r="C32" s="474">
        <v>12092.28</v>
      </c>
      <c r="D32" s="474">
        <v>14792.81</v>
      </c>
      <c r="E32" s="474">
        <v>10111.780000000001</v>
      </c>
      <c r="K32" s="475">
        <f>+M17</f>
        <v>34000</v>
      </c>
      <c r="L32" s="496">
        <f>+O17</f>
        <v>40000</v>
      </c>
      <c r="M32" s="500">
        <f t="shared" si="8"/>
        <v>6000</v>
      </c>
      <c r="N32" s="477">
        <f t="shared" si="9"/>
        <v>0.17649999999999999</v>
      </c>
      <c r="O32" s="470" t="s">
        <v>1765</v>
      </c>
      <c r="P32" s="471"/>
      <c r="Q32" s="27"/>
      <c r="R32" s="27"/>
      <c r="S32" s="27"/>
    </row>
    <row r="33" spans="1:19" x14ac:dyDescent="0.25">
      <c r="A33" s="876"/>
      <c r="B33" s="4"/>
      <c r="C33" s="23"/>
      <c r="D33" s="23"/>
      <c r="E33" s="23"/>
      <c r="F33" s="23"/>
      <c r="G33" s="23"/>
      <c r="K33" s="23"/>
      <c r="L33" s="23"/>
      <c r="M33" s="23"/>
      <c r="N33" s="27"/>
      <c r="O33" s="23"/>
      <c r="P33" s="23"/>
      <c r="Q33" s="27"/>
      <c r="R33" s="27"/>
      <c r="S33" s="27"/>
    </row>
    <row r="34" spans="1:19" x14ac:dyDescent="0.25">
      <c r="A34" s="876"/>
      <c r="B34" s="4" t="s">
        <v>1363</v>
      </c>
      <c r="C34" s="23"/>
      <c r="D34" s="23"/>
      <c r="E34" s="23"/>
      <c r="F34" s="23"/>
      <c r="G34" s="23"/>
      <c r="K34" s="742">
        <f>SUM(K26:K33)</f>
        <v>278050</v>
      </c>
      <c r="L34" s="742">
        <f>SUM(L26:L33)</f>
        <v>278050</v>
      </c>
      <c r="M34" s="202">
        <f>+L34-K34</f>
        <v>0</v>
      </c>
      <c r="N34" s="743" t="str">
        <f>IF(K34+L34&lt;&gt;0,IF(K34&lt;&gt;0,IF(M34&lt;&gt;0,ROUND((+M34/K34),4),""),1),"")</f>
        <v/>
      </c>
      <c r="O34" s="23"/>
      <c r="P34" s="23"/>
      <c r="Q34" s="27"/>
      <c r="R34" s="27"/>
      <c r="S34" s="27"/>
    </row>
    <row r="35" spans="1:19" x14ac:dyDescent="0.25">
      <c r="A35" s="876"/>
      <c r="B35" s="4"/>
      <c r="C35" s="23"/>
      <c r="D35" s="23"/>
      <c r="E35" s="23"/>
      <c r="F35" s="23"/>
      <c r="G35" s="23"/>
      <c r="H35" s="23"/>
      <c r="I35" s="23"/>
      <c r="J35" s="23"/>
      <c r="K35" s="23"/>
      <c r="L35" s="23"/>
      <c r="M35" s="23"/>
      <c r="N35" s="27"/>
      <c r="O35" s="23"/>
      <c r="P35" s="23"/>
      <c r="Q35" s="27"/>
      <c r="R35" s="27"/>
      <c r="S35" s="27"/>
    </row>
    <row r="36" spans="1:19" x14ac:dyDescent="0.25">
      <c r="A36" s="876" t="s">
        <v>1552</v>
      </c>
      <c r="B36" s="4"/>
      <c r="C36" s="23"/>
      <c r="D36" s="23"/>
      <c r="E36" s="23"/>
      <c r="F36" s="23"/>
      <c r="G36" s="23"/>
      <c r="H36" s="23"/>
      <c r="I36" s="23"/>
      <c r="J36" s="23"/>
      <c r="K36" s="23"/>
      <c r="L36" s="23"/>
      <c r="M36" s="23"/>
      <c r="N36" s="27"/>
      <c r="O36" s="23"/>
      <c r="P36" s="23"/>
      <c r="Q36" s="27"/>
      <c r="R36" s="27"/>
      <c r="S36" s="27"/>
    </row>
    <row r="37" spans="1:19" x14ac:dyDescent="0.25">
      <c r="A37" s="876"/>
      <c r="B37" s="4"/>
      <c r="C37" s="23"/>
      <c r="D37" s="23"/>
      <c r="E37" s="23"/>
      <c r="F37" s="23"/>
      <c r="G37" s="23"/>
      <c r="H37" s="23"/>
      <c r="I37" s="23"/>
      <c r="J37" s="23"/>
      <c r="K37" s="23"/>
      <c r="L37" s="23"/>
      <c r="M37" s="23"/>
      <c r="N37" s="27"/>
      <c r="O37" s="23"/>
      <c r="P37" s="23"/>
      <c r="Q37" s="27"/>
      <c r="R37" s="27"/>
      <c r="S37" s="27"/>
    </row>
    <row r="38" spans="1:19" x14ac:dyDescent="0.25">
      <c r="A38" s="876"/>
      <c r="B38" s="4"/>
      <c r="C38" s="23"/>
      <c r="D38" s="23"/>
      <c r="E38" s="23"/>
      <c r="F38" s="23"/>
      <c r="G38" s="23"/>
      <c r="H38" s="23"/>
      <c r="I38" s="23"/>
      <c r="J38" s="23"/>
      <c r="K38" s="23"/>
      <c r="L38" s="23"/>
      <c r="M38" s="23"/>
      <c r="N38" s="27"/>
      <c r="O38" s="23"/>
      <c r="P38" s="23"/>
      <c r="Q38" s="27"/>
      <c r="R38" s="27"/>
      <c r="S38" s="27"/>
    </row>
    <row r="39" spans="1:19" x14ac:dyDescent="0.25">
      <c r="A39" s="876"/>
      <c r="B39" s="4"/>
      <c r="C39" s="23"/>
      <c r="D39" s="23"/>
      <c r="E39" s="23"/>
      <c r="F39" s="23"/>
      <c r="G39" s="23"/>
      <c r="H39" s="23"/>
      <c r="I39" s="23"/>
      <c r="J39" s="23"/>
      <c r="K39" s="23"/>
      <c r="L39" s="23"/>
      <c r="M39" s="23"/>
      <c r="N39" s="27"/>
      <c r="O39" s="23"/>
      <c r="P39" s="23"/>
      <c r="Q39" s="27"/>
      <c r="R39" s="27"/>
      <c r="S39" s="27"/>
    </row>
    <row r="40" spans="1:19" x14ac:dyDescent="0.25">
      <c r="A40" s="876"/>
      <c r="B40" s="4"/>
      <c r="C40" s="23"/>
      <c r="D40" s="23"/>
      <c r="E40" s="23"/>
      <c r="F40" s="23"/>
      <c r="G40" s="23"/>
      <c r="H40" s="23"/>
      <c r="I40" s="23"/>
      <c r="J40" s="23"/>
      <c r="K40" s="23"/>
      <c r="L40" s="23"/>
      <c r="M40" s="23"/>
      <c r="N40" s="27"/>
      <c r="O40" s="23"/>
      <c r="P40" s="23"/>
      <c r="Q40" s="27"/>
      <c r="R40" s="27"/>
      <c r="S40" s="27"/>
    </row>
    <row r="41" spans="1:19" x14ac:dyDescent="0.25">
      <c r="A41" s="876"/>
      <c r="B41" s="4"/>
      <c r="C41" s="23"/>
      <c r="D41" s="23"/>
      <c r="E41" s="23"/>
      <c r="F41" s="23"/>
      <c r="G41" s="23"/>
      <c r="H41" s="23"/>
      <c r="I41" s="23"/>
      <c r="J41" s="23"/>
      <c r="K41" s="23"/>
      <c r="L41" s="23"/>
      <c r="M41" s="23"/>
      <c r="N41" s="27"/>
      <c r="O41" s="23"/>
      <c r="P41" s="23"/>
      <c r="Q41" s="27"/>
      <c r="R41" s="27"/>
      <c r="S41" s="27"/>
    </row>
    <row r="42" spans="1:19" x14ac:dyDescent="0.25">
      <c r="A42" s="876"/>
      <c r="B42" s="4"/>
      <c r="C42" s="23"/>
      <c r="D42" s="23"/>
      <c r="E42" s="23"/>
      <c r="F42" s="23"/>
      <c r="G42" s="23"/>
      <c r="H42" s="23"/>
      <c r="I42" s="23"/>
      <c r="J42" s="23"/>
      <c r="K42" s="23"/>
      <c r="L42" s="23"/>
      <c r="M42" s="23"/>
      <c r="N42" s="27"/>
      <c r="O42" s="23"/>
      <c r="P42" s="23"/>
      <c r="Q42" s="27"/>
      <c r="R42" s="27"/>
      <c r="S42" s="27"/>
    </row>
    <row r="43" spans="1:19" x14ac:dyDescent="0.25">
      <c r="A43" s="876"/>
      <c r="B43" s="4"/>
      <c r="C43" s="23"/>
      <c r="D43" s="23"/>
      <c r="E43" s="23"/>
      <c r="F43" s="23"/>
      <c r="G43" s="23"/>
      <c r="H43" s="23"/>
      <c r="I43" s="23"/>
      <c r="J43" s="23"/>
      <c r="K43" s="23"/>
      <c r="L43" s="23"/>
      <c r="M43" s="23"/>
      <c r="N43" s="27"/>
      <c r="O43" s="23"/>
      <c r="P43" s="23"/>
      <c r="Q43" s="27"/>
      <c r="R43" s="27"/>
      <c r="S43" s="27"/>
    </row>
    <row r="44" spans="1:19" x14ac:dyDescent="0.25">
      <c r="A44" s="876"/>
      <c r="B44" s="4"/>
      <c r="C44" s="23"/>
      <c r="D44" s="23"/>
      <c r="E44" s="23"/>
      <c r="F44" s="23"/>
      <c r="G44" s="23"/>
      <c r="H44" s="23"/>
      <c r="I44" s="23"/>
      <c r="J44" s="23"/>
      <c r="K44" s="23"/>
      <c r="L44" s="23"/>
      <c r="M44" s="23"/>
      <c r="N44" s="27"/>
      <c r="O44" s="23"/>
      <c r="P44" s="23"/>
      <c r="Q44" s="27"/>
      <c r="R44" s="27"/>
      <c r="S44" s="27"/>
    </row>
    <row r="45" spans="1:19" x14ac:dyDescent="0.25">
      <c r="A45" s="876"/>
      <c r="B45" s="4"/>
      <c r="C45" s="23"/>
      <c r="D45" s="23"/>
      <c r="E45" s="23"/>
      <c r="F45" s="23"/>
      <c r="G45" s="23"/>
      <c r="H45" s="23"/>
      <c r="I45" s="23"/>
      <c r="J45" s="23"/>
      <c r="K45" s="23"/>
      <c r="L45" s="23"/>
      <c r="M45" s="23"/>
      <c r="N45" s="27"/>
      <c r="O45" s="23"/>
      <c r="P45" s="23"/>
      <c r="Q45" s="27"/>
      <c r="R45" s="27"/>
      <c r="S45" s="27"/>
    </row>
    <row r="46" spans="1:19" x14ac:dyDescent="0.25">
      <c r="A46" s="876"/>
      <c r="B46" s="4"/>
      <c r="C46" s="23"/>
      <c r="D46" s="23"/>
      <c r="E46" s="23"/>
      <c r="F46" s="23"/>
      <c r="G46" s="23"/>
      <c r="H46" s="23"/>
      <c r="I46" s="23"/>
      <c r="J46" s="23"/>
      <c r="K46" s="23"/>
      <c r="L46" s="23"/>
      <c r="M46" s="23"/>
      <c r="N46" s="27"/>
      <c r="O46" s="23"/>
      <c r="P46" s="23"/>
      <c r="Q46" s="27"/>
      <c r="R46" s="27"/>
      <c r="S46" s="27"/>
    </row>
    <row r="47" spans="1:19" x14ac:dyDescent="0.25">
      <c r="A47" s="876"/>
      <c r="B47" s="4"/>
      <c r="C47" s="23"/>
      <c r="D47" s="23"/>
      <c r="E47" s="23"/>
      <c r="F47" s="23"/>
      <c r="G47" s="23"/>
      <c r="H47" s="23"/>
      <c r="I47" s="23"/>
      <c r="J47" s="23"/>
      <c r="K47" s="23"/>
      <c r="L47" s="23"/>
      <c r="M47" s="23"/>
      <c r="N47" s="27"/>
      <c r="O47" s="23"/>
      <c r="P47" s="23"/>
      <c r="Q47" s="27"/>
      <c r="R47" s="27"/>
      <c r="S47" s="27"/>
    </row>
    <row r="48" spans="1:19" x14ac:dyDescent="0.25">
      <c r="A48" s="876"/>
      <c r="B48" s="4"/>
      <c r="C48" s="23"/>
      <c r="D48" s="23"/>
      <c r="E48" s="23"/>
      <c r="F48" s="23"/>
      <c r="G48" s="23"/>
      <c r="H48" s="23"/>
      <c r="I48" s="23"/>
      <c r="J48" s="23"/>
      <c r="K48" s="23"/>
      <c r="L48" s="23"/>
      <c r="M48" s="23"/>
      <c r="N48" s="27"/>
      <c r="O48" s="23"/>
      <c r="P48" s="23"/>
      <c r="Q48" s="27"/>
      <c r="R48" s="27"/>
      <c r="S48" s="27"/>
    </row>
    <row r="49" spans="1:19" x14ac:dyDescent="0.25">
      <c r="A49" s="876"/>
      <c r="B49" s="4"/>
      <c r="C49" s="23"/>
      <c r="D49" s="23"/>
      <c r="E49" s="23"/>
      <c r="F49" s="23"/>
      <c r="G49" s="23"/>
      <c r="H49" s="23"/>
      <c r="I49" s="23"/>
      <c r="J49" s="23"/>
      <c r="K49" s="23"/>
      <c r="L49" s="23"/>
      <c r="M49" s="23"/>
      <c r="N49" s="27"/>
      <c r="O49" s="23"/>
      <c r="P49" s="23"/>
      <c r="Q49" s="27"/>
      <c r="R49" s="27"/>
      <c r="S49" s="27"/>
    </row>
    <row r="50" spans="1:19" x14ac:dyDescent="0.25">
      <c r="A50" s="876"/>
      <c r="B50" s="4"/>
      <c r="C50" s="23"/>
      <c r="D50" s="23"/>
      <c r="E50" s="23"/>
      <c r="F50" s="23"/>
      <c r="G50" s="23"/>
      <c r="H50" s="23"/>
      <c r="I50" s="23"/>
      <c r="J50" s="23"/>
      <c r="K50" s="23"/>
      <c r="L50" s="23"/>
      <c r="M50" s="23"/>
      <c r="N50" s="27"/>
      <c r="O50" s="23"/>
      <c r="P50" s="23"/>
      <c r="Q50" s="27"/>
      <c r="R50" s="27"/>
      <c r="S50" s="27"/>
    </row>
    <row r="51" spans="1:19" x14ac:dyDescent="0.25">
      <c r="A51" s="876"/>
      <c r="B51" s="4"/>
      <c r="C51" s="23"/>
      <c r="D51" s="23"/>
      <c r="E51" s="23"/>
      <c r="F51" s="23"/>
      <c r="G51" s="23"/>
      <c r="H51" s="23"/>
      <c r="I51" s="23"/>
      <c r="J51" s="23"/>
      <c r="K51" s="23"/>
      <c r="L51" s="23"/>
      <c r="M51" s="23"/>
      <c r="N51" s="27"/>
      <c r="O51" s="23"/>
      <c r="P51" s="23"/>
      <c r="Q51" s="27"/>
      <c r="R51" s="27"/>
      <c r="S51" s="27"/>
    </row>
    <row r="52" spans="1:19" x14ac:dyDescent="0.25">
      <c r="A52" s="876"/>
      <c r="B52" s="4"/>
      <c r="C52" s="23"/>
      <c r="D52" s="23"/>
      <c r="E52" s="23"/>
      <c r="F52" s="23"/>
      <c r="G52" s="23"/>
      <c r="H52" s="23"/>
      <c r="I52" s="23"/>
      <c r="J52" s="23"/>
      <c r="K52" s="23"/>
      <c r="L52" s="23"/>
      <c r="M52" s="23"/>
      <c r="N52" s="27"/>
      <c r="O52" s="23"/>
      <c r="P52" s="23"/>
      <c r="Q52" s="27"/>
      <c r="R52" s="27"/>
      <c r="S52" s="27"/>
    </row>
    <row r="53" spans="1:19" x14ac:dyDescent="0.25">
      <c r="A53" s="876"/>
      <c r="B53" s="4"/>
      <c r="C53" s="23"/>
      <c r="D53" s="23"/>
      <c r="E53" s="23"/>
      <c r="F53" s="23"/>
      <c r="G53" s="23"/>
      <c r="H53" s="23"/>
      <c r="I53" s="23"/>
      <c r="J53" s="23"/>
      <c r="K53" s="23"/>
      <c r="L53" s="23"/>
      <c r="M53" s="23"/>
      <c r="N53" s="27"/>
      <c r="O53" s="23"/>
      <c r="P53" s="23"/>
      <c r="Q53" s="27"/>
      <c r="R53" s="27"/>
      <c r="S53" s="27"/>
    </row>
    <row r="54" spans="1:19" x14ac:dyDescent="0.25">
      <c r="A54" s="876"/>
      <c r="B54" s="4"/>
      <c r="C54" s="23"/>
      <c r="D54" s="23"/>
      <c r="E54" s="23"/>
      <c r="F54" s="23"/>
      <c r="G54" s="23"/>
      <c r="H54" s="23"/>
      <c r="I54" s="23"/>
      <c r="J54" s="23"/>
      <c r="K54" s="23"/>
      <c r="L54" s="23"/>
      <c r="M54" s="23"/>
      <c r="N54" s="27"/>
      <c r="O54" s="23"/>
      <c r="P54" s="23"/>
      <c r="Q54" s="27"/>
      <c r="R54" s="27"/>
      <c r="S54" s="27"/>
    </row>
    <row r="55" spans="1:19" x14ac:dyDescent="0.25">
      <c r="A55" s="876"/>
      <c r="B55" s="4"/>
      <c r="C55" s="23"/>
      <c r="D55" s="23"/>
      <c r="E55" s="23"/>
      <c r="F55" s="23"/>
      <c r="G55" s="23"/>
      <c r="H55" s="23"/>
      <c r="I55" s="23"/>
      <c r="J55" s="23"/>
      <c r="K55" s="23"/>
      <c r="L55" s="23"/>
      <c r="M55" s="23"/>
      <c r="N55" s="27"/>
      <c r="O55" s="23"/>
      <c r="P55" s="23"/>
      <c r="Q55" s="27"/>
      <c r="R55" s="27"/>
      <c r="S55" s="27"/>
    </row>
    <row r="56" spans="1:19" x14ac:dyDescent="0.25">
      <c r="A56" s="876"/>
      <c r="B56" s="4"/>
      <c r="C56" s="23"/>
      <c r="D56" s="23"/>
      <c r="E56" s="23"/>
      <c r="F56" s="23"/>
      <c r="G56" s="23"/>
      <c r="H56" s="23"/>
      <c r="I56" s="23"/>
      <c r="J56" s="23"/>
      <c r="K56" s="23"/>
      <c r="L56" s="23"/>
      <c r="M56" s="23"/>
      <c r="N56" s="27"/>
      <c r="O56" s="23"/>
      <c r="P56" s="23"/>
      <c r="Q56" s="27"/>
      <c r="R56" s="27"/>
      <c r="S56" s="27"/>
    </row>
    <row r="57" spans="1:19" x14ac:dyDescent="0.25">
      <c r="A57" s="876"/>
      <c r="B57" s="4"/>
      <c r="C57" s="23"/>
      <c r="D57" s="23"/>
      <c r="E57" s="23"/>
      <c r="F57" s="23"/>
      <c r="G57" s="23"/>
      <c r="H57" s="23"/>
      <c r="I57" s="23"/>
      <c r="J57" s="23"/>
      <c r="K57" s="23"/>
      <c r="L57" s="23"/>
      <c r="M57" s="23"/>
      <c r="N57" s="27"/>
      <c r="O57" s="23"/>
      <c r="P57" s="23"/>
      <c r="Q57" s="27"/>
      <c r="R57" s="27"/>
      <c r="S57" s="27"/>
    </row>
    <row r="58" spans="1:19" x14ac:dyDescent="0.25">
      <c r="A58" s="876"/>
      <c r="B58" s="4"/>
      <c r="C58" s="23"/>
      <c r="D58" s="23"/>
      <c r="E58" s="23"/>
      <c r="F58" s="23"/>
      <c r="G58" s="23"/>
      <c r="H58" s="23"/>
      <c r="I58" s="23"/>
      <c r="J58" s="23"/>
      <c r="K58" s="23"/>
      <c r="L58" s="23"/>
      <c r="M58" s="23"/>
      <c r="N58" s="4"/>
      <c r="O58" s="23"/>
      <c r="P58" s="23"/>
      <c r="Q58" s="4"/>
      <c r="R58" s="4"/>
      <c r="S58" s="4"/>
    </row>
    <row r="59" spans="1:19" x14ac:dyDescent="0.25">
      <c r="A59" s="876"/>
      <c r="B59" s="4"/>
      <c r="C59" s="23"/>
      <c r="D59" s="23"/>
      <c r="E59" s="23"/>
      <c r="F59" s="23"/>
      <c r="G59" s="23"/>
      <c r="H59" s="23"/>
      <c r="I59" s="23"/>
      <c r="J59" s="23"/>
      <c r="K59" s="23"/>
      <c r="L59" s="23"/>
      <c r="M59" s="23"/>
      <c r="N59" s="4"/>
      <c r="O59" s="23"/>
      <c r="P59" s="23"/>
      <c r="Q59" s="4"/>
      <c r="R59" s="4"/>
      <c r="S59" s="4"/>
    </row>
    <row r="60" spans="1:19" x14ac:dyDescent="0.25">
      <c r="A60" s="876"/>
      <c r="B60" s="4"/>
      <c r="C60" s="23"/>
      <c r="D60" s="23"/>
      <c r="E60" s="23"/>
      <c r="F60" s="23"/>
      <c r="G60" s="23"/>
      <c r="H60" s="23"/>
      <c r="I60" s="23"/>
      <c r="J60" s="23"/>
      <c r="K60" s="23"/>
      <c r="L60" s="23"/>
      <c r="M60" s="23"/>
      <c r="N60" s="4"/>
      <c r="O60" s="23"/>
      <c r="P60" s="23"/>
      <c r="Q60" s="4"/>
      <c r="R60" s="4"/>
      <c r="S60" s="4"/>
    </row>
    <row r="61" spans="1:19" x14ac:dyDescent="0.25">
      <c r="A61" s="876"/>
      <c r="B61" s="4"/>
      <c r="C61" s="23"/>
      <c r="D61" s="23"/>
      <c r="E61" s="23"/>
      <c r="F61" s="23"/>
      <c r="G61" s="23"/>
      <c r="H61" s="23"/>
      <c r="I61" s="23"/>
      <c r="J61" s="23"/>
      <c r="K61" s="23"/>
      <c r="L61" s="23"/>
      <c r="M61" s="23"/>
      <c r="N61" s="4"/>
      <c r="O61" s="23"/>
      <c r="P61" s="23"/>
      <c r="Q61" s="4"/>
      <c r="R61" s="4"/>
      <c r="S61" s="4"/>
    </row>
    <row r="62" spans="1:19" x14ac:dyDescent="0.25">
      <c r="A62" s="876"/>
      <c r="B62" s="4"/>
      <c r="C62" s="23"/>
      <c r="D62" s="23"/>
      <c r="E62" s="23"/>
      <c r="F62" s="23"/>
      <c r="G62" s="23"/>
      <c r="H62" s="23"/>
      <c r="I62" s="23"/>
      <c r="J62" s="23"/>
      <c r="K62" s="23"/>
      <c r="L62" s="23"/>
      <c r="M62" s="23"/>
      <c r="N62" s="4"/>
      <c r="O62" s="23"/>
      <c r="P62" s="23"/>
      <c r="Q62" s="4"/>
      <c r="R62" s="4"/>
      <c r="S62" s="4"/>
    </row>
    <row r="63" spans="1:19" x14ac:dyDescent="0.25">
      <c r="A63" s="876"/>
      <c r="B63" s="4"/>
      <c r="C63" s="23"/>
      <c r="D63" s="23"/>
      <c r="E63" s="23"/>
      <c r="F63" s="23"/>
      <c r="G63" s="23"/>
      <c r="H63" s="23"/>
      <c r="I63" s="23"/>
      <c r="J63" s="23"/>
      <c r="K63" s="23"/>
      <c r="L63" s="23"/>
      <c r="M63" s="23"/>
      <c r="N63" s="4"/>
      <c r="O63" s="23"/>
      <c r="P63" s="23"/>
      <c r="Q63" s="4"/>
      <c r="R63" s="4"/>
      <c r="S63" s="4"/>
    </row>
    <row r="64" spans="1:19" x14ac:dyDescent="0.25">
      <c r="A64" s="876"/>
      <c r="B64" s="4"/>
      <c r="C64" s="23"/>
      <c r="D64" s="23"/>
      <c r="E64" s="23"/>
      <c r="F64" s="23"/>
      <c r="G64" s="23"/>
      <c r="H64" s="23"/>
      <c r="I64" s="23"/>
      <c r="J64" s="23"/>
      <c r="K64" s="23"/>
      <c r="L64" s="23"/>
      <c r="M64" s="23"/>
      <c r="N64" s="4"/>
      <c r="O64" s="23"/>
      <c r="P64" s="23"/>
      <c r="Q64" s="4"/>
      <c r="R64" s="4"/>
      <c r="S64" s="4"/>
    </row>
    <row r="65" spans="1:19" x14ac:dyDescent="0.25">
      <c r="A65" s="876"/>
      <c r="B65" s="4"/>
      <c r="C65" s="23"/>
      <c r="D65" s="23"/>
      <c r="E65" s="23"/>
      <c r="F65" s="23"/>
      <c r="G65" s="23"/>
      <c r="H65" s="23"/>
      <c r="I65" s="23"/>
      <c r="J65" s="23"/>
      <c r="K65" s="23"/>
      <c r="L65" s="23"/>
      <c r="M65" s="23"/>
      <c r="N65" s="4"/>
      <c r="O65" s="23"/>
      <c r="P65" s="23"/>
      <c r="Q65" s="4"/>
      <c r="R65" s="4"/>
      <c r="S65" s="4"/>
    </row>
    <row r="66" spans="1:19" x14ac:dyDescent="0.25">
      <c r="A66" s="876"/>
      <c r="B66" s="4"/>
      <c r="C66" s="23"/>
      <c r="D66" s="23"/>
      <c r="E66" s="23"/>
      <c r="F66" s="23"/>
      <c r="G66" s="23"/>
      <c r="H66" s="23"/>
      <c r="I66" s="23"/>
      <c r="J66" s="23"/>
      <c r="K66" s="23"/>
      <c r="L66" s="23"/>
      <c r="M66" s="23"/>
      <c r="N66" s="4"/>
      <c r="O66" s="23"/>
      <c r="P66" s="23"/>
      <c r="Q66" s="4"/>
      <c r="R66" s="4"/>
      <c r="S66" s="4"/>
    </row>
    <row r="67" spans="1:19" x14ac:dyDescent="0.25">
      <c r="A67" s="876"/>
      <c r="B67" s="4"/>
      <c r="C67" s="23"/>
      <c r="D67" s="23"/>
      <c r="E67" s="23"/>
      <c r="F67" s="23"/>
      <c r="G67" s="23"/>
      <c r="H67" s="23"/>
      <c r="I67" s="23"/>
      <c r="J67" s="23"/>
      <c r="K67" s="23"/>
      <c r="L67" s="23"/>
      <c r="M67" s="23"/>
      <c r="N67" s="4"/>
      <c r="O67" s="23"/>
      <c r="P67" s="23"/>
      <c r="Q67" s="4"/>
      <c r="R67" s="4"/>
      <c r="S67" s="4"/>
    </row>
    <row r="68" spans="1:19" x14ac:dyDescent="0.25">
      <c r="A68" s="876"/>
      <c r="B68" s="4"/>
      <c r="C68" s="23"/>
      <c r="D68" s="23"/>
      <c r="E68" s="23"/>
      <c r="F68" s="23"/>
      <c r="G68" s="23"/>
      <c r="H68" s="23"/>
      <c r="I68" s="23"/>
      <c r="J68" s="23"/>
      <c r="K68" s="23"/>
      <c r="L68" s="23"/>
      <c r="M68" s="23"/>
      <c r="N68" s="4"/>
      <c r="O68" s="23"/>
      <c r="P68" s="23"/>
      <c r="Q68" s="4"/>
      <c r="R68" s="4"/>
      <c r="S68" s="4"/>
    </row>
    <row r="69" spans="1:19" x14ac:dyDescent="0.25">
      <c r="A69" s="876"/>
      <c r="B69" s="4"/>
      <c r="C69" s="23"/>
      <c r="D69" s="23"/>
      <c r="E69" s="23"/>
      <c r="F69" s="23"/>
      <c r="G69" s="23"/>
      <c r="H69" s="23"/>
      <c r="I69" s="23"/>
      <c r="J69" s="23"/>
      <c r="K69" s="23"/>
      <c r="L69" s="23"/>
      <c r="M69" s="23"/>
      <c r="N69" s="4"/>
      <c r="O69" s="23"/>
      <c r="P69" s="23"/>
      <c r="Q69" s="4"/>
      <c r="R69" s="4"/>
      <c r="S69" s="4"/>
    </row>
    <row r="70" spans="1:19" x14ac:dyDescent="0.25">
      <c r="A70" s="876"/>
      <c r="B70" s="4"/>
      <c r="C70" s="23"/>
      <c r="D70" s="23"/>
      <c r="E70" s="23"/>
      <c r="F70" s="23"/>
      <c r="G70" s="23"/>
      <c r="H70" s="23"/>
      <c r="I70" s="23"/>
      <c r="J70" s="23"/>
      <c r="K70" s="23"/>
      <c r="L70" s="23"/>
      <c r="M70" s="23"/>
      <c r="N70" s="4"/>
      <c r="O70" s="23"/>
      <c r="P70" s="23"/>
      <c r="Q70" s="4"/>
      <c r="R70" s="4"/>
      <c r="S70" s="4"/>
    </row>
    <row r="71" spans="1:19" x14ac:dyDescent="0.25">
      <c r="A71" s="876"/>
      <c r="B71" s="4"/>
      <c r="C71" s="23"/>
      <c r="D71" s="23"/>
      <c r="E71" s="23"/>
      <c r="F71" s="23"/>
      <c r="G71" s="23"/>
      <c r="H71" s="23"/>
      <c r="I71" s="23"/>
      <c r="J71" s="23"/>
      <c r="K71" s="23"/>
      <c r="L71" s="23"/>
      <c r="M71" s="23"/>
      <c r="N71" s="4"/>
      <c r="O71" s="23"/>
      <c r="P71" s="23"/>
      <c r="Q71" s="4"/>
      <c r="R71" s="4"/>
      <c r="S71" s="4"/>
    </row>
    <row r="72" spans="1:19" x14ac:dyDescent="0.25">
      <c r="A72" s="876"/>
      <c r="B72" s="4"/>
      <c r="C72" s="23"/>
      <c r="D72" s="23"/>
      <c r="E72" s="23"/>
      <c r="F72" s="23"/>
      <c r="G72" s="23"/>
      <c r="H72" s="23"/>
      <c r="I72" s="23"/>
      <c r="J72" s="23"/>
      <c r="K72" s="23"/>
      <c r="L72" s="23"/>
      <c r="M72" s="23"/>
      <c r="N72" s="4"/>
      <c r="O72" s="23"/>
      <c r="P72" s="23"/>
      <c r="Q72" s="4"/>
      <c r="R72" s="4"/>
      <c r="S72" s="4"/>
    </row>
    <row r="73" spans="1:19" x14ac:dyDescent="0.25">
      <c r="A73" s="876"/>
      <c r="B73" s="4"/>
      <c r="C73" s="23"/>
      <c r="D73" s="23"/>
      <c r="E73" s="23"/>
      <c r="F73" s="23"/>
      <c r="G73" s="23"/>
      <c r="H73" s="23"/>
      <c r="I73" s="23"/>
      <c r="J73" s="23"/>
      <c r="K73" s="23"/>
      <c r="L73" s="23"/>
      <c r="M73" s="23"/>
      <c r="N73" s="4"/>
      <c r="O73" s="23"/>
      <c r="P73" s="23"/>
      <c r="Q73" s="4"/>
      <c r="R73" s="4"/>
      <c r="S73" s="4"/>
    </row>
    <row r="74" spans="1:19" x14ac:dyDescent="0.25">
      <c r="A74" s="876"/>
      <c r="B74" s="4"/>
      <c r="C74" s="23"/>
      <c r="D74" s="23"/>
      <c r="E74" s="23"/>
      <c r="F74" s="23"/>
      <c r="G74" s="23"/>
      <c r="H74" s="23"/>
      <c r="I74" s="23"/>
      <c r="J74" s="23"/>
      <c r="K74" s="23"/>
      <c r="L74" s="23"/>
      <c r="M74" s="23"/>
      <c r="N74" s="4"/>
      <c r="O74" s="23"/>
      <c r="P74" s="23"/>
      <c r="Q74" s="4"/>
      <c r="R74" s="4"/>
      <c r="S74" s="4"/>
    </row>
    <row r="75" spans="1:19" x14ac:dyDescent="0.25">
      <c r="A75" s="876"/>
      <c r="B75" s="4"/>
      <c r="C75" s="23"/>
      <c r="D75" s="23"/>
      <c r="E75" s="23"/>
      <c r="F75" s="23"/>
      <c r="G75" s="23"/>
      <c r="H75" s="23"/>
      <c r="I75" s="23"/>
      <c r="J75" s="23"/>
      <c r="K75" s="23"/>
      <c r="L75" s="23"/>
      <c r="M75" s="23"/>
      <c r="N75" s="4"/>
      <c r="O75" s="23"/>
      <c r="P75" s="23"/>
      <c r="Q75" s="4"/>
      <c r="R75" s="4"/>
      <c r="S75" s="4"/>
    </row>
    <row r="76" spans="1:19" x14ac:dyDescent="0.25">
      <c r="A76" s="876"/>
      <c r="B76" s="4"/>
      <c r="C76" s="23"/>
      <c r="D76" s="23"/>
      <c r="E76" s="23"/>
      <c r="F76" s="23"/>
      <c r="G76" s="23"/>
      <c r="H76" s="23"/>
      <c r="I76" s="23"/>
      <c r="J76" s="23"/>
      <c r="K76" s="23"/>
      <c r="L76" s="23"/>
      <c r="M76" s="23"/>
      <c r="N76" s="4"/>
      <c r="O76" s="23"/>
      <c r="P76" s="23"/>
      <c r="Q76" s="4"/>
      <c r="R76" s="4"/>
      <c r="S76" s="4"/>
    </row>
    <row r="77" spans="1:19" x14ac:dyDescent="0.25">
      <c r="A77" s="876"/>
      <c r="B77" s="4"/>
      <c r="C77" s="23"/>
      <c r="D77" s="23"/>
      <c r="E77" s="23"/>
      <c r="F77" s="23"/>
      <c r="G77" s="23"/>
      <c r="H77" s="23"/>
      <c r="I77" s="23"/>
      <c r="J77" s="23"/>
      <c r="K77" s="23"/>
      <c r="L77" s="23"/>
      <c r="M77" s="23"/>
      <c r="N77" s="4"/>
      <c r="O77" s="23"/>
      <c r="P77" s="23"/>
      <c r="Q77" s="4"/>
      <c r="R77" s="4"/>
      <c r="S77" s="4"/>
    </row>
    <row r="78" spans="1:19" x14ac:dyDescent="0.25">
      <c r="A78" s="876"/>
      <c r="B78" s="4"/>
      <c r="C78" s="23"/>
      <c r="D78" s="23"/>
      <c r="E78" s="23"/>
      <c r="F78" s="23"/>
      <c r="G78" s="23"/>
      <c r="H78" s="23"/>
      <c r="I78" s="23"/>
      <c r="J78" s="23"/>
      <c r="K78" s="23"/>
      <c r="L78" s="23"/>
      <c r="M78" s="23"/>
      <c r="N78" s="4"/>
      <c r="O78" s="23"/>
      <c r="P78" s="23"/>
      <c r="Q78" s="4"/>
      <c r="R78" s="4"/>
      <c r="S78" s="4"/>
    </row>
    <row r="79" spans="1:19" x14ac:dyDescent="0.25">
      <c r="A79" s="876"/>
      <c r="B79" s="4"/>
      <c r="C79" s="23"/>
      <c r="D79" s="23"/>
      <c r="E79" s="23"/>
      <c r="F79" s="23"/>
      <c r="G79" s="23"/>
      <c r="H79" s="23"/>
      <c r="I79" s="23"/>
      <c r="J79" s="23"/>
      <c r="K79" s="23"/>
      <c r="L79" s="23"/>
      <c r="M79" s="23"/>
      <c r="N79" s="4"/>
      <c r="O79" s="23"/>
      <c r="P79" s="23"/>
      <c r="Q79" s="4"/>
      <c r="R79" s="4"/>
      <c r="S79" s="4"/>
    </row>
    <row r="80" spans="1:19" x14ac:dyDescent="0.25">
      <c r="A80" s="876"/>
      <c r="B80" s="4"/>
      <c r="C80" s="23"/>
      <c r="D80" s="23"/>
      <c r="E80" s="23"/>
      <c r="F80" s="23"/>
      <c r="G80" s="23"/>
      <c r="H80" s="23"/>
      <c r="I80" s="23"/>
      <c r="J80" s="23"/>
      <c r="K80" s="23"/>
      <c r="L80" s="23"/>
      <c r="M80" s="23"/>
      <c r="N80" s="4"/>
      <c r="O80" s="23"/>
      <c r="P80" s="23"/>
      <c r="Q80" s="4"/>
      <c r="R80" s="4"/>
      <c r="S80" s="4"/>
    </row>
    <row r="81" spans="1:19" x14ac:dyDescent="0.25">
      <c r="A81" s="876"/>
      <c r="B81" s="4"/>
      <c r="C81" s="23"/>
      <c r="D81" s="23"/>
      <c r="E81" s="23"/>
      <c r="F81" s="23"/>
      <c r="G81" s="23"/>
      <c r="H81" s="23"/>
      <c r="I81" s="23"/>
      <c r="J81" s="23"/>
      <c r="K81" s="23"/>
      <c r="L81" s="23"/>
      <c r="M81" s="23"/>
      <c r="N81" s="4"/>
      <c r="O81" s="23"/>
      <c r="P81" s="23"/>
      <c r="Q81" s="4"/>
      <c r="R81" s="4"/>
      <c r="S81" s="4"/>
    </row>
    <row r="82" spans="1:19" x14ac:dyDescent="0.25">
      <c r="A82" s="876"/>
      <c r="B82" s="4"/>
      <c r="C82" s="23"/>
      <c r="D82" s="23"/>
      <c r="E82" s="23"/>
      <c r="F82" s="23"/>
      <c r="G82" s="23"/>
      <c r="H82" s="23"/>
      <c r="I82" s="23"/>
      <c r="J82" s="23"/>
      <c r="K82" s="23"/>
      <c r="L82" s="23"/>
      <c r="M82" s="23"/>
      <c r="N82" s="4"/>
      <c r="O82" s="23"/>
      <c r="P82" s="23"/>
      <c r="Q82" s="4"/>
      <c r="R82" s="4"/>
      <c r="S82" s="4"/>
    </row>
    <row r="83" spans="1:19" x14ac:dyDescent="0.25">
      <c r="A83" s="876"/>
      <c r="B83" s="4"/>
      <c r="C83" s="23"/>
      <c r="D83" s="23"/>
      <c r="E83" s="23"/>
      <c r="F83" s="23"/>
      <c r="G83" s="23"/>
      <c r="H83" s="23"/>
      <c r="I83" s="23"/>
      <c r="J83" s="23"/>
      <c r="K83" s="23"/>
      <c r="L83" s="23"/>
      <c r="M83" s="23"/>
      <c r="N83" s="4"/>
      <c r="O83" s="23"/>
      <c r="P83" s="23"/>
      <c r="Q83" s="4"/>
      <c r="R83" s="4"/>
      <c r="S83" s="4"/>
    </row>
    <row r="84" spans="1:19" x14ac:dyDescent="0.25">
      <c r="A84" s="876"/>
      <c r="B84" s="4"/>
      <c r="C84" s="23"/>
      <c r="D84" s="23"/>
      <c r="E84" s="23"/>
      <c r="F84" s="23"/>
      <c r="G84" s="23"/>
      <c r="H84" s="23"/>
      <c r="I84" s="23"/>
      <c r="J84" s="23"/>
      <c r="K84" s="23"/>
      <c r="L84" s="23"/>
      <c r="M84" s="23"/>
      <c r="N84" s="4"/>
      <c r="O84" s="23"/>
      <c r="P84" s="23"/>
      <c r="Q84" s="4"/>
      <c r="R84" s="4"/>
      <c r="S84" s="4"/>
    </row>
    <row r="85" spans="1:19" x14ac:dyDescent="0.25">
      <c r="A85" s="876"/>
      <c r="B85" s="4"/>
      <c r="C85" s="23"/>
      <c r="D85" s="23"/>
      <c r="E85" s="23"/>
      <c r="F85" s="23"/>
      <c r="G85" s="23"/>
      <c r="H85" s="23"/>
      <c r="I85" s="23"/>
      <c r="J85" s="23"/>
      <c r="K85" s="23"/>
      <c r="L85" s="23"/>
      <c r="M85" s="23"/>
      <c r="N85" s="4"/>
      <c r="O85" s="23"/>
      <c r="P85" s="23"/>
      <c r="Q85" s="4"/>
      <c r="R85" s="4"/>
      <c r="S85" s="4"/>
    </row>
    <row r="86" spans="1:19" x14ac:dyDescent="0.25">
      <c r="A86" s="876"/>
      <c r="B86" s="4"/>
      <c r="C86" s="23"/>
      <c r="D86" s="23"/>
      <c r="E86" s="23"/>
      <c r="F86" s="23"/>
      <c r="G86" s="23"/>
      <c r="H86" s="23"/>
      <c r="I86" s="23"/>
      <c r="J86" s="23"/>
      <c r="K86" s="23"/>
      <c r="L86" s="23"/>
      <c r="M86" s="23"/>
      <c r="N86" s="4"/>
      <c r="O86" s="23"/>
      <c r="P86" s="23"/>
      <c r="Q86" s="4"/>
      <c r="R86" s="4"/>
      <c r="S86" s="4"/>
    </row>
    <row r="87" spans="1:19" x14ac:dyDescent="0.25">
      <c r="A87" s="876"/>
      <c r="B87" s="4"/>
      <c r="C87" s="23"/>
      <c r="D87" s="23"/>
      <c r="E87" s="23"/>
      <c r="F87" s="23"/>
      <c r="G87" s="23"/>
      <c r="H87" s="23"/>
      <c r="I87" s="23"/>
      <c r="J87" s="23"/>
      <c r="K87" s="23"/>
      <c r="L87" s="23"/>
      <c r="M87" s="23"/>
      <c r="N87" s="4"/>
      <c r="O87" s="23"/>
      <c r="P87" s="23"/>
      <c r="Q87" s="4"/>
      <c r="R87" s="4"/>
      <c r="S87" s="4"/>
    </row>
    <row r="88" spans="1:19" x14ac:dyDescent="0.25">
      <c r="A88" s="876"/>
      <c r="B88" s="4"/>
      <c r="C88" s="23"/>
      <c r="D88" s="23"/>
      <c r="E88" s="23"/>
      <c r="F88" s="23"/>
      <c r="G88" s="23"/>
      <c r="H88" s="23"/>
      <c r="I88" s="23"/>
      <c r="J88" s="23"/>
      <c r="K88" s="23"/>
      <c r="L88" s="23"/>
      <c r="M88" s="23"/>
      <c r="N88" s="4"/>
      <c r="O88" s="23"/>
      <c r="P88" s="23"/>
      <c r="Q88" s="4"/>
      <c r="R88" s="4"/>
      <c r="S88" s="4"/>
    </row>
    <row r="89" spans="1:19" x14ac:dyDescent="0.25">
      <c r="A89" s="876"/>
      <c r="B89" s="4"/>
      <c r="C89" s="23"/>
      <c r="D89" s="23"/>
      <c r="E89" s="23"/>
      <c r="F89" s="23"/>
      <c r="G89" s="23"/>
      <c r="H89" s="23"/>
      <c r="I89" s="23"/>
      <c r="J89" s="23"/>
      <c r="K89" s="23"/>
      <c r="L89" s="23"/>
      <c r="M89" s="23"/>
      <c r="N89" s="4"/>
      <c r="O89" s="23"/>
      <c r="P89" s="23"/>
      <c r="Q89" s="4"/>
      <c r="R89" s="4"/>
      <c r="S89" s="4"/>
    </row>
    <row r="90" spans="1:19" x14ac:dyDescent="0.25">
      <c r="A90" s="876"/>
      <c r="B90" s="4"/>
      <c r="C90" s="23"/>
      <c r="D90" s="23"/>
      <c r="E90" s="23"/>
      <c r="F90" s="23"/>
      <c r="G90" s="23"/>
      <c r="H90" s="23"/>
      <c r="I90" s="23"/>
      <c r="J90" s="23"/>
      <c r="K90" s="23"/>
      <c r="L90" s="23"/>
      <c r="M90" s="23"/>
      <c r="N90" s="4"/>
      <c r="O90" s="23"/>
      <c r="P90" s="23"/>
      <c r="Q90" s="4"/>
      <c r="R90" s="4"/>
      <c r="S90" s="4"/>
    </row>
    <row r="91" spans="1:19" x14ac:dyDescent="0.25">
      <c r="A91" s="876"/>
      <c r="B91" s="4"/>
      <c r="C91" s="23"/>
      <c r="D91" s="23"/>
      <c r="E91" s="23"/>
      <c r="F91" s="23"/>
      <c r="G91" s="23"/>
      <c r="H91" s="23"/>
      <c r="I91" s="23"/>
      <c r="J91" s="23"/>
      <c r="K91" s="23"/>
      <c r="L91" s="23"/>
      <c r="M91" s="23"/>
      <c r="N91" s="4"/>
      <c r="O91" s="23"/>
      <c r="P91" s="23"/>
      <c r="Q91" s="4"/>
      <c r="R91" s="4"/>
      <c r="S91" s="4"/>
    </row>
    <row r="92" spans="1:19" x14ac:dyDescent="0.25">
      <c r="A92" s="876"/>
      <c r="B92" s="4"/>
      <c r="C92" s="23"/>
      <c r="D92" s="23"/>
      <c r="E92" s="23"/>
      <c r="F92" s="23"/>
      <c r="G92" s="23"/>
      <c r="H92" s="23"/>
      <c r="I92" s="23"/>
      <c r="J92" s="23"/>
      <c r="K92" s="23"/>
      <c r="L92" s="23"/>
      <c r="M92" s="23"/>
      <c r="N92" s="4"/>
      <c r="O92" s="23"/>
      <c r="P92" s="23"/>
      <c r="Q92" s="4"/>
      <c r="R92" s="4"/>
      <c r="S92" s="4"/>
    </row>
    <row r="93" spans="1:19" x14ac:dyDescent="0.25">
      <c r="A93" s="876"/>
      <c r="B93" s="4"/>
      <c r="C93" s="23"/>
      <c r="D93" s="23"/>
      <c r="E93" s="23"/>
      <c r="F93" s="23"/>
      <c r="G93" s="23"/>
      <c r="H93" s="23"/>
      <c r="I93" s="23"/>
      <c r="J93" s="23"/>
      <c r="K93" s="23"/>
      <c r="L93" s="23"/>
      <c r="M93" s="23"/>
      <c r="N93" s="4"/>
      <c r="O93" s="23"/>
      <c r="P93" s="23"/>
      <c r="Q93" s="4"/>
      <c r="R93" s="4"/>
      <c r="S93" s="4"/>
    </row>
    <row r="94" spans="1:19" x14ac:dyDescent="0.25">
      <c r="A94" s="876"/>
      <c r="B94" s="4"/>
      <c r="C94" s="23"/>
      <c r="D94" s="23"/>
      <c r="E94" s="23"/>
      <c r="F94" s="23"/>
      <c r="G94" s="23"/>
      <c r="H94" s="23"/>
      <c r="I94" s="23"/>
      <c r="J94" s="23"/>
      <c r="K94" s="23"/>
      <c r="L94" s="23"/>
      <c r="M94" s="23"/>
      <c r="N94" s="4"/>
      <c r="O94" s="23"/>
      <c r="P94" s="23"/>
      <c r="Q94" s="4"/>
      <c r="R94" s="4"/>
      <c r="S94" s="4"/>
    </row>
    <row r="95" spans="1:19" x14ac:dyDescent="0.25">
      <c r="A95" s="876"/>
      <c r="B95" s="4"/>
      <c r="C95" s="23"/>
      <c r="D95" s="23"/>
      <c r="E95" s="23"/>
      <c r="F95" s="23"/>
      <c r="G95" s="23"/>
      <c r="H95" s="23"/>
      <c r="I95" s="23"/>
      <c r="J95" s="23"/>
      <c r="K95" s="23"/>
      <c r="L95" s="23"/>
      <c r="M95" s="23"/>
      <c r="N95" s="4"/>
      <c r="O95" s="23"/>
      <c r="P95" s="23"/>
      <c r="Q95" s="4"/>
      <c r="R95" s="4"/>
      <c r="S95" s="4"/>
    </row>
    <row r="96" spans="1:19" x14ac:dyDescent="0.25">
      <c r="A96" s="876"/>
      <c r="B96" s="4"/>
      <c r="C96" s="23"/>
      <c r="D96" s="23"/>
      <c r="E96" s="23"/>
      <c r="F96" s="23"/>
      <c r="G96" s="23"/>
      <c r="H96" s="23"/>
      <c r="I96" s="23"/>
      <c r="J96" s="23"/>
      <c r="K96" s="23"/>
      <c r="L96" s="23"/>
      <c r="M96" s="23"/>
      <c r="N96" s="4"/>
      <c r="O96" s="23"/>
      <c r="P96" s="23"/>
      <c r="Q96" s="4"/>
      <c r="R96" s="4"/>
      <c r="S96" s="4"/>
    </row>
    <row r="97" spans="1:19" x14ac:dyDescent="0.25">
      <c r="A97" s="876"/>
      <c r="B97" s="4"/>
      <c r="C97" s="23"/>
      <c r="D97" s="23"/>
      <c r="E97" s="23"/>
      <c r="F97" s="23"/>
      <c r="G97" s="23"/>
      <c r="H97" s="23"/>
      <c r="I97" s="23"/>
      <c r="J97" s="23"/>
      <c r="K97" s="23"/>
      <c r="L97" s="23"/>
      <c r="M97" s="23"/>
      <c r="N97" s="4"/>
      <c r="O97" s="23"/>
      <c r="P97" s="23"/>
      <c r="Q97" s="4"/>
      <c r="R97" s="4"/>
      <c r="S97" s="4"/>
    </row>
    <row r="98" spans="1:19" x14ac:dyDescent="0.25">
      <c r="A98" s="876"/>
      <c r="B98" s="4"/>
      <c r="C98" s="23"/>
      <c r="D98" s="23"/>
      <c r="E98" s="23"/>
      <c r="F98" s="23"/>
      <c r="G98" s="23"/>
      <c r="H98" s="23"/>
      <c r="I98" s="23"/>
      <c r="J98" s="23"/>
      <c r="K98" s="23"/>
      <c r="L98" s="23"/>
      <c r="M98" s="23"/>
      <c r="N98" s="4"/>
      <c r="O98" s="23"/>
      <c r="P98" s="23"/>
      <c r="Q98" s="4"/>
      <c r="R98" s="4"/>
      <c r="S98" s="4"/>
    </row>
    <row r="99" spans="1:19" x14ac:dyDescent="0.25">
      <c r="A99" s="876"/>
      <c r="B99" s="4"/>
      <c r="C99" s="23"/>
      <c r="D99" s="23"/>
      <c r="E99" s="23"/>
      <c r="F99" s="23"/>
      <c r="G99" s="23"/>
      <c r="H99" s="23"/>
      <c r="I99" s="23"/>
      <c r="J99" s="23"/>
      <c r="K99" s="23"/>
      <c r="L99" s="23"/>
      <c r="M99" s="23"/>
      <c r="N99" s="4"/>
      <c r="O99" s="23"/>
      <c r="P99" s="23"/>
      <c r="Q99" s="4"/>
      <c r="R99" s="4"/>
      <c r="S99" s="4"/>
    </row>
    <row r="100" spans="1:19" x14ac:dyDescent="0.25">
      <c r="A100" s="876"/>
      <c r="B100" s="4"/>
      <c r="C100" s="23"/>
      <c r="D100" s="23"/>
      <c r="E100" s="23"/>
      <c r="F100" s="23"/>
      <c r="G100" s="23"/>
      <c r="H100" s="23"/>
      <c r="I100" s="23"/>
      <c r="J100" s="23"/>
      <c r="K100" s="23"/>
      <c r="L100" s="23"/>
      <c r="M100" s="23"/>
      <c r="N100" s="4"/>
      <c r="O100" s="23"/>
      <c r="P100" s="23"/>
      <c r="Q100" s="4"/>
      <c r="R100" s="4"/>
      <c r="S100" s="4"/>
    </row>
    <row r="101" spans="1:19" x14ac:dyDescent="0.25">
      <c r="A101" s="876"/>
      <c r="B101" s="4"/>
      <c r="C101" s="23"/>
      <c r="D101" s="23"/>
      <c r="E101" s="23"/>
      <c r="F101" s="23"/>
      <c r="G101" s="23"/>
      <c r="H101" s="23"/>
      <c r="I101" s="23"/>
      <c r="J101" s="23"/>
      <c r="K101" s="23"/>
      <c r="L101" s="23"/>
      <c r="M101" s="23"/>
      <c r="N101" s="4"/>
      <c r="O101" s="23"/>
      <c r="P101" s="23"/>
      <c r="Q101" s="4"/>
      <c r="R101" s="4"/>
      <c r="S101" s="4"/>
    </row>
    <row r="102" spans="1:19" x14ac:dyDescent="0.25">
      <c r="A102" s="876"/>
      <c r="B102" s="4"/>
      <c r="C102" s="23"/>
      <c r="D102" s="23"/>
      <c r="E102" s="23"/>
      <c r="F102" s="23"/>
      <c r="G102" s="23"/>
      <c r="H102" s="23"/>
      <c r="I102" s="23"/>
      <c r="J102" s="23"/>
      <c r="K102" s="23"/>
      <c r="L102" s="23"/>
      <c r="M102" s="23"/>
      <c r="N102" s="4"/>
      <c r="O102" s="23"/>
      <c r="P102" s="23"/>
      <c r="Q102" s="4"/>
      <c r="R102" s="4"/>
      <c r="S102" s="4"/>
    </row>
    <row r="103" spans="1:19" x14ac:dyDescent="0.25">
      <c r="A103" s="876"/>
      <c r="B103" s="4"/>
      <c r="C103" s="23"/>
      <c r="D103" s="23"/>
      <c r="E103" s="23"/>
      <c r="F103" s="23"/>
      <c r="G103" s="23"/>
      <c r="H103" s="23"/>
      <c r="I103" s="23"/>
      <c r="J103" s="23"/>
      <c r="K103" s="23"/>
      <c r="L103" s="23"/>
      <c r="M103" s="23"/>
      <c r="N103" s="4"/>
      <c r="O103" s="23"/>
      <c r="P103" s="23"/>
      <c r="Q103" s="4"/>
      <c r="R103" s="4"/>
      <c r="S103" s="4"/>
    </row>
    <row r="104" spans="1:19" x14ac:dyDescent="0.25">
      <c r="A104" s="876"/>
      <c r="B104" s="4"/>
      <c r="C104" s="23"/>
      <c r="D104" s="23"/>
      <c r="E104" s="23"/>
      <c r="F104" s="23"/>
      <c r="G104" s="23"/>
      <c r="H104" s="23"/>
      <c r="I104" s="23"/>
      <c r="J104" s="23"/>
      <c r="K104" s="23"/>
      <c r="L104" s="23"/>
      <c r="M104" s="23"/>
      <c r="N104" s="4"/>
      <c r="O104" s="23"/>
      <c r="P104" s="23"/>
      <c r="Q104" s="4"/>
      <c r="R104" s="4"/>
      <c r="S104" s="4"/>
    </row>
    <row r="105" spans="1:19" x14ac:dyDescent="0.25">
      <c r="A105" s="876"/>
      <c r="B105" s="4"/>
      <c r="C105" s="23"/>
      <c r="D105" s="23"/>
      <c r="E105" s="23"/>
      <c r="F105" s="23"/>
      <c r="G105" s="23"/>
      <c r="H105" s="23"/>
      <c r="I105" s="23"/>
      <c r="J105" s="23"/>
      <c r="K105" s="23"/>
      <c r="L105" s="23"/>
      <c r="M105" s="23"/>
      <c r="N105" s="4"/>
      <c r="O105" s="23"/>
      <c r="P105" s="23"/>
      <c r="Q105" s="4"/>
      <c r="R105" s="4"/>
      <c r="S105" s="4"/>
    </row>
    <row r="106" spans="1:19" x14ac:dyDescent="0.25">
      <c r="A106" s="876"/>
      <c r="B106" s="4"/>
      <c r="C106" s="23"/>
      <c r="D106" s="23"/>
      <c r="E106" s="23"/>
      <c r="F106" s="23"/>
      <c r="G106" s="23"/>
      <c r="H106" s="23"/>
      <c r="I106" s="23"/>
      <c r="J106" s="23"/>
      <c r="K106" s="23"/>
      <c r="L106" s="23"/>
      <c r="M106" s="23"/>
      <c r="N106" s="4"/>
      <c r="O106" s="23"/>
      <c r="P106" s="23"/>
      <c r="Q106" s="4"/>
      <c r="R106" s="4"/>
      <c r="S106" s="4"/>
    </row>
    <row r="107" spans="1:19" x14ac:dyDescent="0.25">
      <c r="A107" s="876"/>
      <c r="B107" s="4"/>
      <c r="C107" s="23"/>
      <c r="D107" s="23"/>
      <c r="E107" s="23"/>
      <c r="F107" s="23"/>
      <c r="G107" s="23"/>
      <c r="H107" s="23"/>
      <c r="I107" s="23"/>
      <c r="J107" s="23"/>
      <c r="K107" s="23"/>
      <c r="L107" s="23"/>
      <c r="M107" s="23"/>
      <c r="N107" s="4"/>
      <c r="O107" s="23"/>
      <c r="P107" s="23"/>
      <c r="Q107" s="4"/>
      <c r="R107" s="4"/>
      <c r="S107" s="4"/>
    </row>
    <row r="108" spans="1:19" x14ac:dyDescent="0.25">
      <c r="A108" s="876"/>
      <c r="B108" s="4"/>
      <c r="C108" s="23"/>
      <c r="D108" s="23"/>
      <c r="E108" s="23"/>
      <c r="F108" s="23"/>
      <c r="G108" s="23"/>
      <c r="H108" s="23"/>
      <c r="I108" s="23"/>
      <c r="J108" s="23"/>
      <c r="K108" s="23"/>
      <c r="L108" s="23"/>
      <c r="M108" s="23"/>
      <c r="N108" s="4"/>
      <c r="O108" s="23"/>
      <c r="P108" s="23"/>
      <c r="Q108" s="4"/>
      <c r="R108" s="4"/>
      <c r="S108" s="4"/>
    </row>
    <row r="109" spans="1:19" x14ac:dyDescent="0.25">
      <c r="A109" s="876"/>
      <c r="B109" s="4"/>
      <c r="C109" s="23"/>
      <c r="D109" s="23"/>
      <c r="E109" s="23"/>
      <c r="F109" s="23"/>
      <c r="G109" s="23"/>
      <c r="H109" s="23"/>
      <c r="I109" s="23"/>
      <c r="J109" s="23"/>
      <c r="K109" s="23"/>
      <c r="L109" s="23"/>
      <c r="M109" s="23"/>
      <c r="N109" s="4"/>
      <c r="O109" s="23"/>
      <c r="P109" s="23"/>
      <c r="Q109" s="4"/>
      <c r="R109" s="4"/>
      <c r="S109" s="4"/>
    </row>
    <row r="110" spans="1:19" x14ac:dyDescent="0.25">
      <c r="A110" s="876"/>
      <c r="B110" s="4"/>
      <c r="C110" s="23"/>
      <c r="D110" s="23"/>
      <c r="E110" s="23"/>
      <c r="F110" s="23"/>
      <c r="G110" s="23"/>
      <c r="H110" s="23"/>
      <c r="I110" s="23"/>
      <c r="J110" s="23"/>
      <c r="K110" s="23"/>
      <c r="L110" s="23"/>
      <c r="M110" s="23"/>
      <c r="N110" s="4"/>
      <c r="O110" s="23"/>
      <c r="P110" s="23"/>
      <c r="Q110" s="4"/>
      <c r="R110" s="4"/>
      <c r="S110" s="4"/>
    </row>
    <row r="111" spans="1:19" x14ac:dyDescent="0.25">
      <c r="A111" s="876"/>
      <c r="B111" s="4"/>
      <c r="C111" s="23"/>
      <c r="D111" s="23"/>
      <c r="E111" s="23"/>
      <c r="F111" s="23"/>
      <c r="G111" s="23"/>
      <c r="H111" s="23"/>
      <c r="I111" s="23"/>
      <c r="J111" s="23"/>
      <c r="K111" s="23"/>
      <c r="L111" s="23"/>
      <c r="M111" s="23"/>
      <c r="N111" s="4"/>
      <c r="O111" s="23"/>
      <c r="P111" s="23"/>
      <c r="Q111" s="4"/>
      <c r="R111" s="4"/>
      <c r="S111" s="4"/>
    </row>
    <row r="112" spans="1:19" x14ac:dyDescent="0.25">
      <c r="A112" s="876"/>
      <c r="B112" s="4"/>
      <c r="C112" s="23"/>
      <c r="D112" s="23"/>
      <c r="E112" s="23"/>
      <c r="F112" s="23"/>
      <c r="G112" s="23"/>
      <c r="H112" s="23"/>
      <c r="I112" s="23"/>
      <c r="J112" s="23"/>
      <c r="K112" s="23"/>
      <c r="L112" s="23"/>
      <c r="M112" s="23"/>
      <c r="N112" s="4"/>
      <c r="O112" s="23"/>
      <c r="P112" s="23"/>
      <c r="Q112" s="4"/>
      <c r="R112" s="4"/>
      <c r="S112" s="4"/>
    </row>
    <row r="113" spans="1:19" x14ac:dyDescent="0.25">
      <c r="A113" s="876"/>
      <c r="B113" s="4"/>
      <c r="C113" s="23"/>
      <c r="D113" s="23"/>
      <c r="E113" s="23"/>
      <c r="F113" s="23"/>
      <c r="G113" s="23"/>
      <c r="H113" s="23"/>
      <c r="I113" s="23"/>
      <c r="J113" s="23"/>
      <c r="K113" s="23"/>
      <c r="L113" s="23"/>
      <c r="M113" s="23"/>
      <c r="N113" s="4"/>
      <c r="O113" s="23"/>
      <c r="P113" s="23"/>
      <c r="Q113" s="4"/>
      <c r="R113" s="4"/>
      <c r="S113" s="4"/>
    </row>
    <row r="114" spans="1:19" x14ac:dyDescent="0.25">
      <c r="A114" s="876"/>
      <c r="B114" s="4"/>
      <c r="C114" s="23"/>
      <c r="D114" s="23"/>
      <c r="E114" s="23"/>
      <c r="F114" s="23"/>
      <c r="G114" s="23"/>
      <c r="H114" s="23"/>
      <c r="I114" s="23"/>
      <c r="J114" s="23"/>
      <c r="K114" s="23"/>
      <c r="L114" s="23"/>
      <c r="M114" s="23"/>
      <c r="N114" s="4"/>
      <c r="O114" s="23"/>
      <c r="P114" s="23"/>
      <c r="Q114" s="4"/>
      <c r="R114" s="4"/>
      <c r="S114" s="4"/>
    </row>
    <row r="115" spans="1:19" x14ac:dyDescent="0.25">
      <c r="A115" s="876"/>
      <c r="B115" s="4"/>
      <c r="C115" s="23"/>
      <c r="D115" s="23"/>
      <c r="E115" s="23"/>
      <c r="F115" s="23"/>
      <c r="G115" s="23"/>
      <c r="H115" s="23"/>
      <c r="I115" s="23"/>
      <c r="J115" s="23"/>
      <c r="K115" s="23"/>
      <c r="L115" s="23"/>
      <c r="M115" s="23"/>
      <c r="N115" s="4"/>
      <c r="O115" s="23"/>
      <c r="P115" s="23"/>
      <c r="Q115" s="4"/>
      <c r="R115" s="4"/>
      <c r="S115" s="4"/>
    </row>
    <row r="116" spans="1:19" x14ac:dyDescent="0.25">
      <c r="A116" s="876"/>
      <c r="B116" s="4"/>
      <c r="C116" s="23"/>
      <c r="D116" s="23"/>
      <c r="E116" s="23"/>
      <c r="F116" s="23"/>
      <c r="G116" s="23"/>
      <c r="H116" s="23"/>
      <c r="I116" s="23"/>
      <c r="J116" s="23"/>
      <c r="K116" s="23"/>
      <c r="L116" s="23"/>
      <c r="M116" s="23"/>
      <c r="N116" s="4"/>
      <c r="O116" s="23"/>
      <c r="P116" s="23"/>
      <c r="Q116" s="4"/>
      <c r="R116" s="4"/>
      <c r="S116" s="4"/>
    </row>
    <row r="117" spans="1:19" x14ac:dyDescent="0.25">
      <c r="A117" s="876"/>
      <c r="B117" s="4"/>
      <c r="C117" s="23"/>
      <c r="D117" s="23"/>
      <c r="E117" s="23"/>
      <c r="F117" s="23"/>
      <c r="G117" s="23"/>
      <c r="H117" s="23"/>
      <c r="I117" s="23"/>
      <c r="J117" s="23"/>
      <c r="K117" s="23"/>
      <c r="L117" s="23"/>
      <c r="M117" s="23"/>
      <c r="N117" s="4"/>
      <c r="O117" s="23"/>
      <c r="P117" s="23"/>
      <c r="Q117" s="4"/>
      <c r="R117" s="4"/>
      <c r="S117" s="4"/>
    </row>
    <row r="118" spans="1:19" x14ac:dyDescent="0.25">
      <c r="A118" s="876"/>
      <c r="B118" s="4"/>
      <c r="C118" s="23"/>
      <c r="D118" s="23"/>
      <c r="E118" s="23"/>
      <c r="F118" s="23"/>
      <c r="G118" s="23"/>
      <c r="H118" s="23"/>
      <c r="I118" s="23"/>
      <c r="J118" s="23"/>
      <c r="K118" s="23"/>
      <c r="L118" s="23"/>
      <c r="M118" s="23"/>
      <c r="N118" s="4"/>
      <c r="O118" s="23"/>
      <c r="P118" s="23"/>
      <c r="Q118" s="4"/>
      <c r="R118" s="4"/>
      <c r="S118" s="4"/>
    </row>
    <row r="119" spans="1:19" x14ac:dyDescent="0.25">
      <c r="A119" s="876"/>
      <c r="B119" s="4"/>
      <c r="C119" s="23"/>
      <c r="D119" s="23"/>
      <c r="E119" s="23"/>
      <c r="F119" s="23"/>
      <c r="G119" s="23"/>
      <c r="H119" s="23"/>
      <c r="I119" s="23"/>
      <c r="J119" s="23"/>
      <c r="K119" s="23"/>
      <c r="L119" s="23"/>
      <c r="M119" s="23"/>
      <c r="N119" s="4"/>
      <c r="O119" s="23"/>
      <c r="P119" s="23"/>
      <c r="Q119" s="4"/>
      <c r="R119" s="4"/>
      <c r="S119" s="4"/>
    </row>
    <row r="120" spans="1:19" x14ac:dyDescent="0.25">
      <c r="A120" s="876"/>
      <c r="B120" s="4"/>
      <c r="C120" s="23"/>
      <c r="D120" s="23"/>
      <c r="E120" s="23"/>
      <c r="F120" s="23"/>
      <c r="G120" s="23"/>
      <c r="H120" s="23"/>
      <c r="I120" s="23"/>
      <c r="J120" s="23"/>
      <c r="K120" s="23"/>
      <c r="L120" s="23"/>
      <c r="M120" s="23"/>
      <c r="N120" s="4"/>
      <c r="O120" s="23"/>
      <c r="P120" s="23"/>
      <c r="Q120" s="4"/>
      <c r="R120" s="4"/>
      <c r="S120" s="4"/>
    </row>
    <row r="121" spans="1:19" x14ac:dyDescent="0.25">
      <c r="A121" s="876"/>
      <c r="B121" s="4"/>
      <c r="C121" s="23"/>
      <c r="D121" s="23"/>
      <c r="E121" s="23"/>
      <c r="F121" s="23"/>
      <c r="G121" s="23"/>
      <c r="H121" s="23"/>
      <c r="I121" s="23"/>
      <c r="J121" s="23"/>
      <c r="K121" s="23"/>
      <c r="L121" s="23"/>
      <c r="M121" s="23"/>
      <c r="N121" s="4"/>
      <c r="O121" s="23"/>
      <c r="P121" s="23"/>
      <c r="Q121" s="4"/>
      <c r="R121" s="4"/>
      <c r="S121" s="4"/>
    </row>
    <row r="122" spans="1:19" x14ac:dyDescent="0.25">
      <c r="A122" s="876"/>
      <c r="B122" s="4"/>
      <c r="C122" s="23"/>
      <c r="D122" s="23"/>
      <c r="E122" s="23"/>
      <c r="F122" s="23"/>
      <c r="G122" s="23"/>
      <c r="H122" s="23"/>
      <c r="I122" s="23"/>
      <c r="J122" s="23"/>
      <c r="K122" s="23"/>
      <c r="L122" s="23"/>
      <c r="M122" s="23"/>
      <c r="N122" s="4"/>
      <c r="O122" s="23"/>
      <c r="P122" s="23"/>
      <c r="Q122" s="4"/>
      <c r="R122" s="4"/>
      <c r="S122" s="4"/>
    </row>
    <row r="123" spans="1:19" x14ac:dyDescent="0.25">
      <c r="A123" s="876"/>
      <c r="B123" s="4"/>
      <c r="C123" s="23"/>
      <c r="D123" s="23"/>
      <c r="E123" s="23"/>
      <c r="F123" s="23"/>
      <c r="G123" s="23"/>
      <c r="H123" s="23"/>
      <c r="I123" s="23"/>
      <c r="J123" s="23"/>
      <c r="K123" s="23"/>
      <c r="L123" s="23"/>
      <c r="M123" s="23"/>
      <c r="N123" s="4"/>
      <c r="O123" s="23"/>
      <c r="P123" s="23"/>
      <c r="Q123" s="4"/>
      <c r="R123" s="4"/>
      <c r="S123" s="4"/>
    </row>
    <row r="124" spans="1:19" x14ac:dyDescent="0.25">
      <c r="C124" s="114"/>
    </row>
    <row r="125" spans="1:19" x14ac:dyDescent="0.25">
      <c r="C125" s="114"/>
    </row>
    <row r="126" spans="1:19" x14ac:dyDescent="0.25">
      <c r="C126" s="114"/>
    </row>
    <row r="127" spans="1:19" x14ac:dyDescent="0.25">
      <c r="C127" s="114"/>
    </row>
    <row r="128" spans="1:19" x14ac:dyDescent="0.25">
      <c r="C128" s="114"/>
    </row>
    <row r="129" spans="3:3" x14ac:dyDescent="0.25">
      <c r="C129" s="114"/>
    </row>
    <row r="130" spans="3:3" x14ac:dyDescent="0.25">
      <c r="C130" s="114"/>
    </row>
    <row r="131" spans="3:3" x14ac:dyDescent="0.25">
      <c r="C131" s="114"/>
    </row>
    <row r="132" spans="3:3" x14ac:dyDescent="0.25">
      <c r="C132" s="114"/>
    </row>
    <row r="133" spans="3:3" x14ac:dyDescent="0.25">
      <c r="C133" s="114"/>
    </row>
    <row r="134" spans="3:3" x14ac:dyDescent="0.25">
      <c r="C134" s="114"/>
    </row>
    <row r="135" spans="3:3" x14ac:dyDescent="0.25">
      <c r="C135" s="114"/>
    </row>
    <row r="136" spans="3:3" x14ac:dyDescent="0.25">
      <c r="C136" s="114"/>
    </row>
    <row r="137" spans="3:3" x14ac:dyDescent="0.25">
      <c r="C137" s="114"/>
    </row>
    <row r="138" spans="3:3" x14ac:dyDescent="0.25">
      <c r="C138" s="114"/>
    </row>
    <row r="139" spans="3:3" x14ac:dyDescent="0.25">
      <c r="C139" s="114"/>
    </row>
    <row r="140" spans="3:3" x14ac:dyDescent="0.25">
      <c r="C140" s="114"/>
    </row>
    <row r="141" spans="3:3" x14ac:dyDescent="0.25">
      <c r="C141" s="114"/>
    </row>
    <row r="142" spans="3:3" x14ac:dyDescent="0.25">
      <c r="C142" s="114"/>
    </row>
    <row r="143" spans="3:3" x14ac:dyDescent="0.25">
      <c r="C143" s="114"/>
    </row>
    <row r="144" spans="3:3" x14ac:dyDescent="0.25">
      <c r="C144" s="114"/>
    </row>
    <row r="145" spans="3:3" x14ac:dyDescent="0.25">
      <c r="C145" s="114"/>
    </row>
    <row r="146" spans="3:3" x14ac:dyDescent="0.25">
      <c r="C146" s="114"/>
    </row>
    <row r="147" spans="3:3" x14ac:dyDescent="0.25">
      <c r="C147" s="114"/>
    </row>
    <row r="148" spans="3:3" x14ac:dyDescent="0.25">
      <c r="C148" s="114"/>
    </row>
    <row r="149" spans="3:3" x14ac:dyDescent="0.25">
      <c r="C149" s="114"/>
    </row>
    <row r="150" spans="3:3" x14ac:dyDescent="0.25">
      <c r="C150" s="114"/>
    </row>
    <row r="151" spans="3:3" x14ac:dyDescent="0.25">
      <c r="C151" s="114"/>
    </row>
    <row r="152" spans="3:3" x14ac:dyDescent="0.25">
      <c r="C152" s="114"/>
    </row>
    <row r="153" spans="3:3" x14ac:dyDescent="0.25">
      <c r="C153" s="114"/>
    </row>
    <row r="154" spans="3:3" x14ac:dyDescent="0.25">
      <c r="C154" s="114"/>
    </row>
    <row r="155" spans="3:3" x14ac:dyDescent="0.25">
      <c r="C155" s="114"/>
    </row>
    <row r="156" spans="3:3" x14ac:dyDescent="0.25">
      <c r="C156" s="114"/>
    </row>
    <row r="157" spans="3:3" x14ac:dyDescent="0.25">
      <c r="C157" s="114"/>
    </row>
    <row r="158" spans="3:3" x14ac:dyDescent="0.25">
      <c r="C158" s="114"/>
    </row>
    <row r="159" spans="3:3" x14ac:dyDescent="0.25">
      <c r="C159" s="114"/>
    </row>
    <row r="160" spans="3:3" x14ac:dyDescent="0.25">
      <c r="C160" s="114"/>
    </row>
    <row r="161" spans="3:3" x14ac:dyDescent="0.25">
      <c r="C161" s="114"/>
    </row>
    <row r="162" spans="3:3" x14ac:dyDescent="0.25">
      <c r="C162" s="114"/>
    </row>
    <row r="163" spans="3:3" x14ac:dyDescent="0.25">
      <c r="C163" s="114"/>
    </row>
    <row r="164" spans="3:3" x14ac:dyDescent="0.25">
      <c r="C164" s="114"/>
    </row>
    <row r="165" spans="3:3" x14ac:dyDescent="0.25">
      <c r="C165" s="114"/>
    </row>
    <row r="166" spans="3:3" x14ac:dyDescent="0.25">
      <c r="C166" s="114"/>
    </row>
    <row r="167" spans="3:3" x14ac:dyDescent="0.25">
      <c r="C167" s="114"/>
    </row>
    <row r="168" spans="3:3" x14ac:dyDescent="0.25">
      <c r="C168" s="114"/>
    </row>
    <row r="169" spans="3:3" x14ac:dyDescent="0.25">
      <c r="C169" s="114"/>
    </row>
    <row r="170" spans="3:3" x14ac:dyDescent="0.25">
      <c r="C170" s="114"/>
    </row>
    <row r="171" spans="3:3" x14ac:dyDescent="0.25">
      <c r="C171" s="114"/>
    </row>
    <row r="172" spans="3:3" x14ac:dyDescent="0.25">
      <c r="C172" s="114"/>
    </row>
    <row r="173" spans="3:3" x14ac:dyDescent="0.25">
      <c r="C173" s="114"/>
    </row>
    <row r="174" spans="3:3" x14ac:dyDescent="0.25">
      <c r="C174" s="114"/>
    </row>
    <row r="175" spans="3:3" x14ac:dyDescent="0.25">
      <c r="C175" s="114"/>
    </row>
    <row r="176" spans="3:3" x14ac:dyDescent="0.25">
      <c r="C176" s="114"/>
    </row>
    <row r="177" spans="3:3" x14ac:dyDescent="0.25">
      <c r="C177" s="114"/>
    </row>
    <row r="178" spans="3:3" x14ac:dyDescent="0.25">
      <c r="C178" s="114"/>
    </row>
  </sheetData>
  <phoneticPr fontId="0" type="noConversion"/>
  <hyperlinks>
    <hyperlink ref="A1" location="'Working Budget with funding det'!A1" display="Main " xr:uid="{00000000-0004-0000-2600-000000000000}"/>
    <hyperlink ref="B1" location="'Table of Contents'!A1" display="TOC" xr:uid="{00000000-0004-0000-2600-000001000000}"/>
  </hyperlinks>
  <pageMargins left="0.75" right="0.75" top="1" bottom="1" header="0.5" footer="0.5"/>
  <pageSetup orientation="landscape" horizontalDpi="300" verticalDpi="300" r:id="rId1"/>
  <headerFooter alignWithMargins="0">
    <oddFooter>&amp;L&amp;D     &amp;T&amp;C&amp;F&amp;R&amp;A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92D050"/>
    <pageSetUpPr fitToPage="1"/>
  </sheetPr>
  <dimension ref="A1:Q178"/>
  <sheetViews>
    <sheetView topLeftCell="A36" zoomScaleNormal="100" workbookViewId="0">
      <selection activeCell="A49" sqref="A1:P49"/>
    </sheetView>
  </sheetViews>
  <sheetFormatPr defaultRowHeight="13.2" x14ac:dyDescent="0.25"/>
  <cols>
    <col min="1" max="1" width="8.77734375" style="885"/>
    <col min="2" max="2" width="36.6640625" customWidth="1"/>
    <col min="3" max="3" width="14.44140625" style="1" hidden="1" customWidth="1"/>
    <col min="4" max="10" width="14.44140625" style="114" hidden="1" customWidth="1"/>
    <col min="11" max="13" width="14.44140625" style="114" customWidth="1"/>
    <col min="14" max="14" width="14.44140625" customWidth="1"/>
    <col min="15" max="17" width="14.44140625" style="1" customWidth="1"/>
  </cols>
  <sheetData>
    <row r="1" spans="1:17" x14ac:dyDescent="0.25">
      <c r="A1" s="874" t="s">
        <v>1021</v>
      </c>
      <c r="B1" s="371" t="s">
        <v>1348</v>
      </c>
      <c r="P1"/>
      <c r="Q1" s="138"/>
    </row>
    <row r="2" spans="1:17" ht="13.8" x14ac:dyDescent="0.25">
      <c r="A2" s="875" t="s">
        <v>262</v>
      </c>
      <c r="B2" s="45"/>
      <c r="E2" s="141"/>
      <c r="I2" s="141" t="s">
        <v>257</v>
      </c>
      <c r="J2" s="141"/>
      <c r="K2" s="141"/>
      <c r="L2" s="141"/>
      <c r="M2" s="141"/>
      <c r="N2" s="61" t="s">
        <v>448</v>
      </c>
      <c r="P2" s="46" t="s">
        <v>497</v>
      </c>
      <c r="Q2" s="1138"/>
    </row>
    <row r="3" spans="1:17" ht="13.8" thickBot="1" x14ac:dyDescent="0.3">
      <c r="A3" s="876"/>
      <c r="B3" s="4"/>
      <c r="C3" s="23"/>
      <c r="D3" s="23"/>
      <c r="E3" s="23"/>
      <c r="F3" s="23"/>
      <c r="G3" s="23"/>
      <c r="H3" s="23"/>
      <c r="I3" s="23"/>
      <c r="J3" s="23"/>
      <c r="K3" s="23"/>
      <c r="L3" s="23"/>
      <c r="M3" s="23"/>
      <c r="N3" s="4"/>
      <c r="O3" s="23"/>
      <c r="P3" s="4"/>
      <c r="Q3" s="148"/>
    </row>
    <row r="4" spans="1:17" ht="13.8" thickTop="1" x14ac:dyDescent="0.25">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c r="Q4" s="337"/>
    </row>
    <row r="5" spans="1:17" x14ac:dyDescent="0.25">
      <c r="A5" s="878"/>
      <c r="B5" s="209"/>
      <c r="C5" s="127"/>
      <c r="D5" s="87"/>
      <c r="E5" s="113"/>
      <c r="F5" s="87"/>
      <c r="G5" s="87"/>
      <c r="H5" s="113"/>
      <c r="I5" s="290"/>
      <c r="J5" s="290"/>
      <c r="K5" s="290"/>
      <c r="L5" s="290"/>
      <c r="M5" s="290"/>
      <c r="N5" s="113" t="s">
        <v>515</v>
      </c>
      <c r="O5" s="88" t="s">
        <v>7</v>
      </c>
      <c r="P5" s="203" t="s">
        <v>1919</v>
      </c>
      <c r="Q5" s="1136"/>
    </row>
    <row r="6" spans="1:17" x14ac:dyDescent="0.25">
      <c r="A6" s="878"/>
      <c r="B6" s="209"/>
      <c r="C6" s="127"/>
      <c r="D6" s="127"/>
      <c r="E6" s="127"/>
      <c r="F6" s="127"/>
      <c r="G6" s="127"/>
      <c r="H6" s="127"/>
      <c r="I6" s="88"/>
      <c r="J6" s="88"/>
      <c r="K6" s="88"/>
      <c r="L6" s="88"/>
      <c r="M6" s="88"/>
      <c r="N6" s="127"/>
      <c r="O6" s="88" t="s">
        <v>8</v>
      </c>
      <c r="P6" s="47" t="s">
        <v>1920</v>
      </c>
      <c r="Q6" s="337"/>
    </row>
    <row r="7" spans="1:17" ht="13.8" thickBot="1" x14ac:dyDescent="0.3">
      <c r="A7" s="879"/>
      <c r="B7" s="82"/>
      <c r="C7" s="307" t="s">
        <v>347</v>
      </c>
      <c r="D7" s="307" t="s">
        <v>722</v>
      </c>
      <c r="E7" s="9" t="s">
        <v>737</v>
      </c>
      <c r="F7" s="9" t="s">
        <v>789</v>
      </c>
      <c r="G7" s="9" t="s">
        <v>889</v>
      </c>
      <c r="H7" s="9" t="s">
        <v>1018</v>
      </c>
      <c r="I7" s="9" t="s">
        <v>1072</v>
      </c>
      <c r="J7" s="9" t="s">
        <v>907</v>
      </c>
      <c r="K7" s="9" t="s">
        <v>908</v>
      </c>
      <c r="L7" s="9" t="s">
        <v>908</v>
      </c>
      <c r="M7" s="9" t="s">
        <v>909</v>
      </c>
      <c r="N7" s="135">
        <v>44561</v>
      </c>
      <c r="O7" s="9" t="s">
        <v>9</v>
      </c>
      <c r="P7" s="9"/>
      <c r="Q7" s="247"/>
    </row>
    <row r="8" spans="1:17" ht="13.8" thickTop="1" x14ac:dyDescent="0.25">
      <c r="A8" s="908"/>
      <c r="B8" s="210"/>
      <c r="C8" s="132"/>
      <c r="D8" s="18"/>
      <c r="E8" s="18"/>
      <c r="F8" s="18"/>
      <c r="G8" s="18"/>
      <c r="H8" s="18"/>
      <c r="I8" s="18"/>
      <c r="J8" s="18"/>
      <c r="K8" s="19"/>
      <c r="L8" s="19"/>
      <c r="M8" s="19"/>
      <c r="N8" s="18"/>
      <c r="O8" s="19"/>
      <c r="P8" s="19"/>
      <c r="Q8" s="202"/>
    </row>
    <row r="9" spans="1:17" x14ac:dyDescent="0.25">
      <c r="A9" s="881">
        <v>5112</v>
      </c>
      <c r="B9" s="63" t="s">
        <v>159</v>
      </c>
      <c r="C9" s="130">
        <v>16950</v>
      </c>
      <c r="D9" s="13">
        <v>16247.6</v>
      </c>
      <c r="E9" s="13">
        <v>17402</v>
      </c>
      <c r="F9" s="13">
        <v>17716.599999999999</v>
      </c>
      <c r="G9" s="13">
        <v>7797</v>
      </c>
      <c r="H9" s="13">
        <v>268.99</v>
      </c>
      <c r="I9" s="13">
        <v>382.2</v>
      </c>
      <c r="J9" s="13">
        <v>1601.8</v>
      </c>
      <c r="K9" s="122">
        <v>500</v>
      </c>
      <c r="L9" s="144"/>
      <c r="M9" s="122">
        <v>500</v>
      </c>
      <c r="N9" s="13"/>
      <c r="O9" s="122">
        <v>500</v>
      </c>
      <c r="P9" s="122"/>
      <c r="Q9" s="202"/>
    </row>
    <row r="10" spans="1:17" x14ac:dyDescent="0.25">
      <c r="A10" s="881">
        <v>5114</v>
      </c>
      <c r="B10" s="63" t="s">
        <v>160</v>
      </c>
      <c r="C10" s="130"/>
      <c r="D10" s="13"/>
      <c r="E10" s="13"/>
      <c r="F10" s="13"/>
      <c r="G10" s="13">
        <v>4961.8500000000004</v>
      </c>
      <c r="H10" s="13">
        <v>9840.9500000000007</v>
      </c>
      <c r="I10" s="13">
        <v>10335.69</v>
      </c>
      <c r="J10" s="13">
        <v>10198.530000000001</v>
      </c>
      <c r="K10" s="122">
        <v>12236</v>
      </c>
      <c r="L10" s="144">
        <v>10749.16</v>
      </c>
      <c r="M10" s="122">
        <v>11546</v>
      </c>
      <c r="N10" s="13">
        <v>5453.78</v>
      </c>
      <c r="O10" s="122">
        <f>ROUND((+'420 DPW'!N80),0)</f>
        <v>11835</v>
      </c>
      <c r="P10" s="122"/>
      <c r="Q10" s="202"/>
    </row>
    <row r="11" spans="1:17" x14ac:dyDescent="0.25">
      <c r="A11" s="881">
        <v>5132</v>
      </c>
      <c r="B11" s="63" t="s">
        <v>191</v>
      </c>
      <c r="C11" s="130">
        <v>271.2</v>
      </c>
      <c r="D11" s="13">
        <f>27.6+241.65</f>
        <v>269.25</v>
      </c>
      <c r="E11" s="13"/>
      <c r="F11" s="13">
        <v>410.68</v>
      </c>
      <c r="G11" s="13">
        <v>146.85</v>
      </c>
      <c r="H11" s="13">
        <v>518.64</v>
      </c>
      <c r="I11" s="13">
        <v>881.94</v>
      </c>
      <c r="J11" s="13">
        <v>2021.06</v>
      </c>
      <c r="K11" s="14">
        <v>750</v>
      </c>
      <c r="L11" s="13"/>
      <c r="M11" s="14">
        <v>750</v>
      </c>
      <c r="N11" s="13"/>
      <c r="O11" s="14">
        <v>750</v>
      </c>
      <c r="P11" s="122"/>
      <c r="Q11" s="202"/>
    </row>
    <row r="12" spans="1:17" ht="13.8" thickBot="1" x14ac:dyDescent="0.3">
      <c r="A12" s="881">
        <v>5142</v>
      </c>
      <c r="B12" s="63" t="s">
        <v>164</v>
      </c>
      <c r="C12" s="131"/>
      <c r="D12" s="15"/>
      <c r="E12" s="15"/>
      <c r="F12" s="15"/>
      <c r="G12" s="15"/>
      <c r="H12" s="15"/>
      <c r="I12" s="15"/>
      <c r="J12" s="15"/>
      <c r="K12" s="16"/>
      <c r="L12" s="15"/>
      <c r="M12" s="16"/>
      <c r="N12" s="15"/>
      <c r="O12" s="16"/>
      <c r="P12" s="123"/>
      <c r="Q12" s="202"/>
    </row>
    <row r="13" spans="1:17" x14ac:dyDescent="0.25">
      <c r="A13" s="881"/>
      <c r="B13" s="64" t="s">
        <v>130</v>
      </c>
      <c r="C13" s="132">
        <f t="shared" ref="C13:N13" si="0">SUM(C9:C12)</f>
        <v>17221.2</v>
      </c>
      <c r="D13" s="18">
        <f t="shared" si="0"/>
        <v>16516.849999999999</v>
      </c>
      <c r="E13" s="18">
        <f t="shared" si="0"/>
        <v>17402</v>
      </c>
      <c r="F13" s="18">
        <f>SUM(F9:F12)</f>
        <v>18127.28</v>
      </c>
      <c r="G13" s="18">
        <f>SUM(G9:G12)</f>
        <v>12905.7</v>
      </c>
      <c r="H13" s="18">
        <f>SUM(H9:H12)</f>
        <v>10628.58</v>
      </c>
      <c r="I13" s="18">
        <f t="shared" si="0"/>
        <v>11599.830000000002</v>
      </c>
      <c r="J13" s="18">
        <f t="shared" si="0"/>
        <v>13821.39</v>
      </c>
      <c r="K13" s="19">
        <f>SUM(K9:K12)</f>
        <v>13486</v>
      </c>
      <c r="L13" s="18">
        <f t="shared" ref="L13" si="1">SUM(L9:L12)</f>
        <v>10749.16</v>
      </c>
      <c r="M13" s="19">
        <f>SUM(M9:M12)</f>
        <v>12796</v>
      </c>
      <c r="N13" s="18">
        <f t="shared" si="0"/>
        <v>5453.78</v>
      </c>
      <c r="O13" s="19">
        <f>SUM(O9:O12)</f>
        <v>13085</v>
      </c>
      <c r="P13" s="124">
        <f>+O13</f>
        <v>13085</v>
      </c>
      <c r="Q13" s="202"/>
    </row>
    <row r="14" spans="1:17" x14ac:dyDescent="0.25">
      <c r="A14" s="881"/>
      <c r="B14" s="63"/>
      <c r="C14" s="130"/>
      <c r="D14" s="13"/>
      <c r="E14" s="13"/>
      <c r="F14" s="13"/>
      <c r="G14" s="13"/>
      <c r="H14" s="13"/>
      <c r="I14" s="13"/>
      <c r="J14" s="13"/>
      <c r="K14" s="14"/>
      <c r="L14" s="144"/>
      <c r="M14" s="14"/>
      <c r="N14" s="13"/>
      <c r="O14" s="14"/>
      <c r="P14" s="122"/>
      <c r="Q14" s="202"/>
    </row>
    <row r="15" spans="1:17" x14ac:dyDescent="0.25">
      <c r="A15" s="903">
        <v>5280</v>
      </c>
      <c r="B15" s="236" t="s">
        <v>1916</v>
      </c>
      <c r="C15" s="405">
        <v>279469.99</v>
      </c>
      <c r="D15" s="126">
        <v>283691.19</v>
      </c>
      <c r="E15" s="126">
        <v>236050.71</v>
      </c>
      <c r="F15" s="126">
        <v>268195.77</v>
      </c>
      <c r="G15" s="126">
        <v>267920.34999999998</v>
      </c>
      <c r="H15" s="126">
        <v>282465.24</v>
      </c>
      <c r="I15" s="126">
        <v>287843.42</v>
      </c>
      <c r="J15" s="126">
        <v>218312.36</v>
      </c>
      <c r="K15" s="124">
        <v>228200</v>
      </c>
      <c r="L15" s="126">
        <v>227997.97</v>
      </c>
      <c r="M15" s="124">
        <v>240000</v>
      </c>
      <c r="N15" s="144">
        <v>97961.39</v>
      </c>
      <c r="O15" s="124">
        <v>252000</v>
      </c>
      <c r="P15" s="124"/>
      <c r="Q15" s="202"/>
    </row>
    <row r="16" spans="1:17" x14ac:dyDescent="0.25">
      <c r="A16" s="881">
        <v>5281</v>
      </c>
      <c r="B16" s="63" t="s">
        <v>1917</v>
      </c>
      <c r="C16" s="130">
        <v>90976.54</v>
      </c>
      <c r="D16" s="18">
        <v>91840.23</v>
      </c>
      <c r="E16" s="18">
        <v>107166.88</v>
      </c>
      <c r="F16" s="18">
        <v>94196.47</v>
      </c>
      <c r="G16" s="18">
        <v>100475.88</v>
      </c>
      <c r="H16" s="18">
        <v>101142.96</v>
      </c>
      <c r="I16" s="126">
        <v>109404.98</v>
      </c>
      <c r="J16" s="126">
        <v>93541.08</v>
      </c>
      <c r="K16" s="124">
        <v>177000</v>
      </c>
      <c r="L16" s="126">
        <v>81853.899999999994</v>
      </c>
      <c r="M16" s="124">
        <v>140000</v>
      </c>
      <c r="N16" s="144">
        <v>40083.72</v>
      </c>
      <c r="O16" s="124">
        <v>147000</v>
      </c>
      <c r="P16" s="124"/>
      <c r="Q16" s="202"/>
    </row>
    <row r="17" spans="1:17" x14ac:dyDescent="0.25">
      <c r="A17" s="881">
        <v>5282</v>
      </c>
      <c r="B17" s="63" t="s">
        <v>30</v>
      </c>
      <c r="C17" s="130">
        <v>18401.03</v>
      </c>
      <c r="D17" s="18">
        <v>19114.689999999999</v>
      </c>
      <c r="E17" s="18">
        <v>26908.31</v>
      </c>
      <c r="F17" s="18">
        <v>22310.400000000001</v>
      </c>
      <c r="G17" s="18">
        <v>17300.37</v>
      </c>
      <c r="H17" s="18">
        <v>21473</v>
      </c>
      <c r="I17" s="126">
        <v>30257.25</v>
      </c>
      <c r="J17" s="126">
        <v>38225.019999999997</v>
      </c>
      <c r="K17" s="124">
        <v>32700</v>
      </c>
      <c r="L17" s="126">
        <v>46886.03</v>
      </c>
      <c r="M17" s="124">
        <v>48000</v>
      </c>
      <c r="N17" s="144">
        <v>24716.77</v>
      </c>
      <c r="O17" s="124">
        <v>50400</v>
      </c>
      <c r="P17" s="124"/>
      <c r="Q17" s="202"/>
    </row>
    <row r="18" spans="1:17" x14ac:dyDescent="0.25">
      <c r="A18" s="881">
        <v>5283</v>
      </c>
      <c r="B18" s="63" t="s">
        <v>514</v>
      </c>
      <c r="C18" s="130">
        <v>3302.24</v>
      </c>
      <c r="D18" s="18">
        <v>2617.9699999999998</v>
      </c>
      <c r="E18" s="18">
        <v>3665.4</v>
      </c>
      <c r="F18" s="18">
        <v>4660.2299999999996</v>
      </c>
      <c r="G18" s="18">
        <v>4331.24</v>
      </c>
      <c r="H18" s="18">
        <v>4549.66</v>
      </c>
      <c r="I18" s="126">
        <v>4531.5200000000004</v>
      </c>
      <c r="J18" s="126">
        <v>4905.32</v>
      </c>
      <c r="K18" s="124">
        <v>5500</v>
      </c>
      <c r="L18" s="126">
        <v>4336.66</v>
      </c>
      <c r="M18" s="124">
        <v>5500</v>
      </c>
      <c r="N18" s="144"/>
      <c r="O18" s="124">
        <v>5500</v>
      </c>
      <c r="P18" s="124"/>
      <c r="Q18" s="202"/>
    </row>
    <row r="19" spans="1:17" x14ac:dyDescent="0.25">
      <c r="A19" s="881">
        <v>5284</v>
      </c>
      <c r="B19" s="12" t="s">
        <v>97</v>
      </c>
      <c r="C19" s="13">
        <v>12531.6</v>
      </c>
      <c r="D19" s="18">
        <v>12690.59</v>
      </c>
      <c r="E19" s="18">
        <v>12756.08</v>
      </c>
      <c r="F19" s="18">
        <v>12699.72</v>
      </c>
      <c r="G19" s="18">
        <v>13099.3</v>
      </c>
      <c r="H19" s="18">
        <v>13526.98</v>
      </c>
      <c r="I19" s="126">
        <v>13542.32</v>
      </c>
      <c r="J19" s="126">
        <v>16234.27</v>
      </c>
      <c r="K19" s="124">
        <v>18000</v>
      </c>
      <c r="L19" s="126">
        <v>16244.84</v>
      </c>
      <c r="M19" s="124">
        <v>18000</v>
      </c>
      <c r="N19" s="144"/>
      <c r="O19" s="124">
        <v>20000</v>
      </c>
      <c r="P19" s="124"/>
      <c r="Q19" s="202"/>
    </row>
    <row r="20" spans="1:17" x14ac:dyDescent="0.25">
      <c r="A20" s="903">
        <v>5285</v>
      </c>
      <c r="B20" s="237" t="s">
        <v>1260</v>
      </c>
      <c r="C20" s="233"/>
      <c r="D20" s="320"/>
      <c r="E20" s="320"/>
      <c r="F20" s="126"/>
      <c r="G20" s="126"/>
      <c r="H20" s="126"/>
      <c r="I20" s="126"/>
      <c r="J20" s="126">
        <v>108924.95</v>
      </c>
      <c r="K20" s="124">
        <v>115000</v>
      </c>
      <c r="L20" s="126">
        <v>139194.21</v>
      </c>
      <c r="M20" s="124">
        <v>150000</v>
      </c>
      <c r="N20" s="144">
        <v>52986.31</v>
      </c>
      <c r="O20" s="124">
        <v>157500</v>
      </c>
      <c r="P20" s="124"/>
      <c r="Q20" s="202"/>
    </row>
    <row r="21" spans="1:17" x14ac:dyDescent="0.25">
      <c r="A21" s="918">
        <v>5286</v>
      </c>
      <c r="B21" s="238" t="s">
        <v>1918</v>
      </c>
      <c r="C21" s="1149"/>
      <c r="D21" s="1150"/>
      <c r="E21" s="1150"/>
      <c r="F21" s="1151"/>
      <c r="G21" s="1151"/>
      <c r="H21" s="1151"/>
      <c r="I21" s="1151"/>
      <c r="J21" s="1151">
        <v>16626.84</v>
      </c>
      <c r="K21" s="964"/>
      <c r="L21" s="1151">
        <v>22095.95</v>
      </c>
      <c r="M21" s="964"/>
      <c r="N21" s="1152">
        <v>4055.72</v>
      </c>
      <c r="O21" s="964"/>
      <c r="P21" s="964"/>
      <c r="Q21" s="1137"/>
    </row>
    <row r="22" spans="1:17" x14ac:dyDescent="0.25">
      <c r="A22" s="881">
        <v>5315</v>
      </c>
      <c r="B22" s="12" t="s">
        <v>975</v>
      </c>
      <c r="C22" s="37"/>
      <c r="D22" s="30"/>
      <c r="E22" s="30"/>
      <c r="F22" s="13">
        <v>6910.1</v>
      </c>
      <c r="G22" s="13">
        <v>195</v>
      </c>
      <c r="H22" s="13">
        <v>400</v>
      </c>
      <c r="I22" s="144">
        <v>150</v>
      </c>
      <c r="J22" s="144">
        <v>400</v>
      </c>
      <c r="K22" s="122">
        <v>1500</v>
      </c>
      <c r="L22" s="144">
        <v>150</v>
      </c>
      <c r="M22" s="124">
        <v>1500</v>
      </c>
      <c r="N22" s="13">
        <v>175</v>
      </c>
      <c r="O22" s="124">
        <v>1500</v>
      </c>
      <c r="P22" s="124"/>
      <c r="Q22" s="202"/>
    </row>
    <row r="23" spans="1:17" x14ac:dyDescent="0.25">
      <c r="A23" s="881">
        <v>5380</v>
      </c>
      <c r="B23" s="12" t="s">
        <v>1069</v>
      </c>
      <c r="C23" s="37"/>
      <c r="D23" s="30"/>
      <c r="E23" s="30"/>
      <c r="F23" s="30"/>
      <c r="G23" s="30">
        <v>1116.5</v>
      </c>
      <c r="H23" s="30">
        <v>159.94999999999999</v>
      </c>
      <c r="I23" s="320"/>
      <c r="J23" s="320"/>
      <c r="K23" s="142"/>
      <c r="L23" s="320">
        <v>219</v>
      </c>
      <c r="M23" s="142"/>
      <c r="N23" s="30"/>
      <c r="O23" s="142"/>
      <c r="P23" s="142"/>
      <c r="Q23" s="202"/>
    </row>
    <row r="24" spans="1:17" ht="13.8" thickBot="1" x14ac:dyDescent="0.3">
      <c r="A24" s="881">
        <v>5420</v>
      </c>
      <c r="B24" s="12" t="s">
        <v>144</v>
      </c>
      <c r="C24" s="15">
        <v>7536.34</v>
      </c>
      <c r="D24" s="15">
        <v>4635.58</v>
      </c>
      <c r="E24" s="15">
        <v>4881.71</v>
      </c>
      <c r="F24" s="15">
        <v>5984.95</v>
      </c>
      <c r="G24" s="15">
        <v>6735.54</v>
      </c>
      <c r="H24" s="15">
        <v>6956.43</v>
      </c>
      <c r="I24" s="318">
        <v>818.2</v>
      </c>
      <c r="J24" s="318">
        <v>6907.06</v>
      </c>
      <c r="K24" s="123">
        <v>7500</v>
      </c>
      <c r="L24" s="318">
        <v>14564.7</v>
      </c>
      <c r="M24" s="123">
        <v>9000</v>
      </c>
      <c r="N24" s="15">
        <v>932.63</v>
      </c>
      <c r="O24" s="123">
        <v>9000</v>
      </c>
      <c r="P24" s="123"/>
      <c r="Q24" s="202"/>
    </row>
    <row r="25" spans="1:17" x14ac:dyDescent="0.25">
      <c r="A25" s="881"/>
      <c r="B25" s="17" t="s">
        <v>449</v>
      </c>
      <c r="C25" s="18">
        <f t="shared" ref="C25:O25" si="2">SUM(C15:C24)</f>
        <v>412217.73999999993</v>
      </c>
      <c r="D25" s="18">
        <f t="shared" si="2"/>
        <v>414590.25</v>
      </c>
      <c r="E25" s="18">
        <f t="shared" si="2"/>
        <v>391429.09</v>
      </c>
      <c r="F25" s="18">
        <f t="shared" si="2"/>
        <v>414957.63999999996</v>
      </c>
      <c r="G25" s="18">
        <f t="shared" si="2"/>
        <v>411174.17999999993</v>
      </c>
      <c r="H25" s="18">
        <f t="shared" si="2"/>
        <v>430674.22</v>
      </c>
      <c r="I25" s="18">
        <f t="shared" si="2"/>
        <v>446547.69</v>
      </c>
      <c r="J25" s="18">
        <f t="shared" si="2"/>
        <v>504076.90000000008</v>
      </c>
      <c r="K25" s="124">
        <f t="shared" si="2"/>
        <v>585400</v>
      </c>
      <c r="L25" s="126">
        <f t="shared" si="2"/>
        <v>553543.25999999989</v>
      </c>
      <c r="M25" s="124">
        <f t="shared" si="2"/>
        <v>612000</v>
      </c>
      <c r="N25" s="18">
        <f t="shared" si="2"/>
        <v>220911.53999999998</v>
      </c>
      <c r="O25" s="124">
        <f t="shared" si="2"/>
        <v>642900</v>
      </c>
      <c r="P25" s="124">
        <f>+O25</f>
        <v>642900</v>
      </c>
      <c r="Q25" s="202"/>
    </row>
    <row r="26" spans="1:17" x14ac:dyDescent="0.25">
      <c r="A26" s="881"/>
      <c r="B26" s="17"/>
      <c r="C26" s="13"/>
      <c r="D26" s="13"/>
      <c r="E26" s="13"/>
      <c r="F26" s="13"/>
      <c r="G26" s="13"/>
      <c r="H26" s="13"/>
      <c r="I26" s="13"/>
      <c r="J26" s="13"/>
      <c r="K26" s="14"/>
      <c r="L26" s="13"/>
      <c r="M26" s="14"/>
      <c r="N26" s="13"/>
      <c r="O26" s="14"/>
      <c r="P26" s="14"/>
      <c r="Q26" s="25"/>
    </row>
    <row r="27" spans="1:17" ht="13.8" thickBot="1" x14ac:dyDescent="0.3">
      <c r="A27" s="882"/>
      <c r="B27" s="20" t="s">
        <v>461</v>
      </c>
      <c r="C27" s="21">
        <f t="shared" ref="C27:H27" si="3">+C25+C13</f>
        <v>429438.93999999994</v>
      </c>
      <c r="D27" s="21">
        <f t="shared" si="3"/>
        <v>431107.1</v>
      </c>
      <c r="E27" s="21">
        <f t="shared" si="3"/>
        <v>408831.09</v>
      </c>
      <c r="F27" s="21">
        <f t="shared" si="3"/>
        <v>433084.91999999993</v>
      </c>
      <c r="G27" s="21">
        <f t="shared" si="3"/>
        <v>424079.87999999995</v>
      </c>
      <c r="H27" s="21">
        <f t="shared" si="3"/>
        <v>441302.8</v>
      </c>
      <c r="I27" s="21">
        <f t="shared" ref="I27:P27" si="4">++I25+I13</f>
        <v>458147.52</v>
      </c>
      <c r="J27" s="21">
        <f t="shared" si="4"/>
        <v>517898.2900000001</v>
      </c>
      <c r="K27" s="22">
        <f t="shared" si="4"/>
        <v>598886</v>
      </c>
      <c r="L27" s="21">
        <f t="shared" si="4"/>
        <v>564292.41999999993</v>
      </c>
      <c r="M27" s="22">
        <f t="shared" si="4"/>
        <v>624796</v>
      </c>
      <c r="N27" s="21">
        <f t="shared" si="4"/>
        <v>226365.31999999998</v>
      </c>
      <c r="O27" s="22">
        <f t="shared" si="4"/>
        <v>655985</v>
      </c>
      <c r="P27" s="22">
        <f t="shared" si="4"/>
        <v>655985</v>
      </c>
      <c r="Q27" s="25"/>
    </row>
    <row r="28" spans="1:17" ht="13.8" thickTop="1" x14ac:dyDescent="0.25">
      <c r="A28" s="876"/>
      <c r="B28" s="4"/>
      <c r="C28" s="23"/>
      <c r="D28" s="23"/>
      <c r="E28" s="23"/>
      <c r="F28" s="23"/>
      <c r="G28" s="23"/>
      <c r="H28" s="23"/>
      <c r="I28" s="23"/>
      <c r="J28" s="23"/>
      <c r="K28" s="24"/>
      <c r="L28" s="25"/>
      <c r="M28" s="25"/>
      <c r="N28" s="27"/>
      <c r="O28" s="23"/>
      <c r="P28" s="23"/>
      <c r="Q28" s="23"/>
    </row>
    <row r="29" spans="1:17" x14ac:dyDescent="0.25">
      <c r="A29" s="876"/>
      <c r="B29" s="4" t="s">
        <v>1921</v>
      </c>
      <c r="C29" s="23"/>
      <c r="D29" s="23"/>
      <c r="E29" s="23"/>
      <c r="F29" s="23"/>
      <c r="G29" s="23"/>
      <c r="H29" s="23"/>
      <c r="I29" s="23"/>
      <c r="J29" s="23"/>
      <c r="K29" s="24"/>
      <c r="L29" s="25"/>
      <c r="M29" s="25"/>
      <c r="N29" s="27"/>
      <c r="O29" s="23"/>
      <c r="P29" s="23"/>
      <c r="Q29" s="23"/>
    </row>
    <row r="30" spans="1:17" x14ac:dyDescent="0.25">
      <c r="A30" s="66"/>
      <c r="B30" s="4"/>
      <c r="C30" s="23"/>
      <c r="D30" s="23"/>
      <c r="E30" s="23"/>
      <c r="F30" s="23"/>
      <c r="G30" s="23"/>
      <c r="H30" s="23"/>
      <c r="I30" s="23"/>
      <c r="J30" s="23"/>
      <c r="K30" s="23"/>
      <c r="L30" s="23"/>
      <c r="M30" s="23"/>
      <c r="N30" s="27"/>
      <c r="O30" s="23"/>
      <c r="P30" s="23"/>
      <c r="Q30" s="23"/>
    </row>
    <row r="31" spans="1:17" ht="13.8" thickBot="1" x14ac:dyDescent="0.3">
      <c r="A31" s="876"/>
      <c r="B31" s="148"/>
      <c r="C31" s="23"/>
      <c r="D31" s="23"/>
      <c r="E31" s="23"/>
      <c r="F31" s="23"/>
      <c r="G31" s="23"/>
      <c r="H31" s="23"/>
      <c r="I31" s="23"/>
      <c r="J31" s="23"/>
      <c r="K31" s="23"/>
      <c r="L31" s="23"/>
      <c r="M31" s="23"/>
      <c r="N31" s="27"/>
      <c r="O31" s="23"/>
      <c r="P31" s="27"/>
      <c r="Q31" s="27"/>
    </row>
    <row r="32" spans="1:17" ht="13.8" thickTop="1" x14ac:dyDescent="0.25">
      <c r="A32" s="893"/>
      <c r="B32" s="452"/>
      <c r="C32" s="453" t="s">
        <v>127</v>
      </c>
      <c r="D32" s="454" t="s">
        <v>127</v>
      </c>
      <c r="E32" s="454" t="s">
        <v>127</v>
      </c>
      <c r="K32" s="455" t="s">
        <v>547</v>
      </c>
      <c r="L32" s="456" t="s">
        <v>9</v>
      </c>
      <c r="M32" s="457" t="s">
        <v>1073</v>
      </c>
      <c r="N32" s="456" t="s">
        <v>686</v>
      </c>
      <c r="O32" s="458"/>
      <c r="P32" s="457"/>
      <c r="Q32" s="1112"/>
    </row>
    <row r="33" spans="1:17" ht="13.8" thickBot="1" x14ac:dyDescent="0.3">
      <c r="A33" s="894"/>
      <c r="B33" s="459"/>
      <c r="C33" s="460" t="s">
        <v>347</v>
      </c>
      <c r="D33" s="460" t="s">
        <v>722</v>
      </c>
      <c r="E33" s="461" t="s">
        <v>737</v>
      </c>
      <c r="K33" s="462" t="s">
        <v>909</v>
      </c>
      <c r="L33" s="462" t="s">
        <v>910</v>
      </c>
      <c r="M33" s="461" t="s">
        <v>1075</v>
      </c>
      <c r="N33" s="463" t="s">
        <v>1075</v>
      </c>
      <c r="O33" s="464" t="s">
        <v>1074</v>
      </c>
      <c r="P33" s="462"/>
      <c r="Q33" s="1112"/>
    </row>
    <row r="34" spans="1:17" ht="13.8" thickTop="1" x14ac:dyDescent="0.25">
      <c r="A34" s="910"/>
      <c r="B34" s="480"/>
      <c r="C34" s="468"/>
      <c r="D34" s="468"/>
      <c r="E34" s="468"/>
      <c r="K34" s="469"/>
      <c r="L34" s="468"/>
      <c r="M34" s="500"/>
      <c r="N34" s="477"/>
      <c r="O34" s="470"/>
      <c r="P34" s="471"/>
      <c r="Q34" s="732"/>
    </row>
    <row r="35" spans="1:17" x14ac:dyDescent="0.25">
      <c r="A35" s="907">
        <v>5112</v>
      </c>
      <c r="B35" s="472" t="s">
        <v>159</v>
      </c>
      <c r="C35" s="476">
        <v>16950</v>
      </c>
      <c r="D35" s="476">
        <v>16247.6</v>
      </c>
      <c r="E35" s="476">
        <v>17402</v>
      </c>
      <c r="K35" s="475">
        <f>+M9</f>
        <v>500</v>
      </c>
      <c r="L35" s="497">
        <f>+O9</f>
        <v>500</v>
      </c>
      <c r="M35" s="475"/>
      <c r="N35" s="476"/>
      <c r="O35" s="470"/>
      <c r="P35" s="471"/>
      <c r="Q35" s="732"/>
    </row>
    <row r="36" spans="1:17" x14ac:dyDescent="0.25">
      <c r="A36" s="907">
        <v>5114</v>
      </c>
      <c r="B36" s="472" t="s">
        <v>160</v>
      </c>
      <c r="C36" s="476"/>
      <c r="D36" s="476"/>
      <c r="E36" s="476"/>
      <c r="K36" s="475">
        <f>+M10</f>
        <v>11546</v>
      </c>
      <c r="L36" s="497">
        <f>+O10</f>
        <v>11835</v>
      </c>
      <c r="M36" s="500">
        <f t="shared" ref="M36:M47" si="5">+L36-K36</f>
        <v>289</v>
      </c>
      <c r="N36" s="477">
        <f t="shared" ref="N36:N47" si="6">IF(K36+L36&lt;&gt;0,IF(K36&lt;&gt;0,IF(M36&lt;&gt;0,ROUND((+M36/K36),4),""),1),"")</f>
        <v>2.5000000000000001E-2</v>
      </c>
      <c r="O36" s="470" t="s">
        <v>1751</v>
      </c>
      <c r="P36" s="471"/>
      <c r="Q36" s="732"/>
    </row>
    <row r="37" spans="1:17" x14ac:dyDescent="0.25">
      <c r="A37" s="907">
        <v>5132</v>
      </c>
      <c r="B37" s="472" t="s">
        <v>191</v>
      </c>
      <c r="C37" s="476">
        <v>271.2</v>
      </c>
      <c r="D37" s="476">
        <f>27.6+241.65</f>
        <v>269.25</v>
      </c>
      <c r="E37" s="476"/>
      <c r="K37" s="475">
        <f>+M11</f>
        <v>750</v>
      </c>
      <c r="L37" s="497">
        <f>+O11</f>
        <v>750</v>
      </c>
      <c r="M37" s="500">
        <f t="shared" si="5"/>
        <v>0</v>
      </c>
      <c r="N37" s="477" t="str">
        <f t="shared" si="6"/>
        <v/>
      </c>
      <c r="O37" s="470"/>
      <c r="P37" s="471"/>
      <c r="Q37" s="732"/>
    </row>
    <row r="38" spans="1:17" ht="13.8" thickBot="1" x14ac:dyDescent="0.3">
      <c r="A38" s="907">
        <v>5142</v>
      </c>
      <c r="B38" s="472" t="s">
        <v>164</v>
      </c>
      <c r="C38" s="474"/>
      <c r="D38" s="474"/>
      <c r="E38" s="474"/>
      <c r="K38" s="475">
        <f>+M12</f>
        <v>0</v>
      </c>
      <c r="L38" s="497">
        <f>+O12</f>
        <v>0</v>
      </c>
      <c r="M38" s="500">
        <f t="shared" si="5"/>
        <v>0</v>
      </c>
      <c r="N38" s="477" t="str">
        <f t="shared" si="6"/>
        <v/>
      </c>
      <c r="O38" s="470"/>
      <c r="P38" s="471"/>
      <c r="Q38" s="732"/>
    </row>
    <row r="39" spans="1:17" x14ac:dyDescent="0.25">
      <c r="A39" s="907">
        <v>5280</v>
      </c>
      <c r="B39" s="472" t="s">
        <v>215</v>
      </c>
      <c r="C39" s="476">
        <v>279469.99</v>
      </c>
      <c r="D39" s="468">
        <v>283691.19</v>
      </c>
      <c r="E39" s="468">
        <v>236050.71</v>
      </c>
      <c r="K39" s="469">
        <f t="shared" ref="K39:K44" si="7">M15</f>
        <v>240000</v>
      </c>
      <c r="L39" s="497">
        <f t="shared" ref="L39:L44" si="8">+O15</f>
        <v>252000</v>
      </c>
      <c r="M39" s="500">
        <f t="shared" si="5"/>
        <v>12000</v>
      </c>
      <c r="N39" s="477">
        <f t="shared" si="6"/>
        <v>0.05</v>
      </c>
      <c r="O39" s="470" t="s">
        <v>1972</v>
      </c>
      <c r="P39" s="471"/>
      <c r="Q39" s="732"/>
    </row>
    <row r="40" spans="1:17" x14ac:dyDescent="0.25">
      <c r="A40" s="907">
        <v>5281</v>
      </c>
      <c r="B40" s="472" t="s">
        <v>216</v>
      </c>
      <c r="C40" s="476">
        <v>90976.54</v>
      </c>
      <c r="D40" s="468">
        <v>91840.23</v>
      </c>
      <c r="E40" s="468">
        <v>107166.88</v>
      </c>
      <c r="K40" s="469">
        <f t="shared" si="7"/>
        <v>140000</v>
      </c>
      <c r="L40" s="497">
        <f t="shared" si="8"/>
        <v>147000</v>
      </c>
      <c r="M40" s="500">
        <f t="shared" si="5"/>
        <v>7000</v>
      </c>
      <c r="N40" s="477">
        <f t="shared" si="6"/>
        <v>0.05</v>
      </c>
      <c r="O40" s="471"/>
      <c r="P40" s="471"/>
      <c r="Q40" s="732"/>
    </row>
    <row r="41" spans="1:17" x14ac:dyDescent="0.25">
      <c r="A41" s="907">
        <v>5282</v>
      </c>
      <c r="B41" s="472" t="s">
        <v>30</v>
      </c>
      <c r="C41" s="476">
        <v>18401.03</v>
      </c>
      <c r="D41" s="468">
        <v>19114.689999999999</v>
      </c>
      <c r="E41" s="468">
        <v>26908.31</v>
      </c>
      <c r="K41" s="469">
        <f t="shared" si="7"/>
        <v>48000</v>
      </c>
      <c r="L41" s="497">
        <f t="shared" si="8"/>
        <v>50400</v>
      </c>
      <c r="M41" s="500">
        <f t="shared" si="5"/>
        <v>2400</v>
      </c>
      <c r="N41" s="477">
        <f t="shared" si="6"/>
        <v>0.05</v>
      </c>
      <c r="O41" s="471"/>
      <c r="P41" s="471"/>
      <c r="Q41" s="732"/>
    </row>
    <row r="42" spans="1:17" x14ac:dyDescent="0.25">
      <c r="A42" s="907">
        <v>5283</v>
      </c>
      <c r="B42" s="472" t="s">
        <v>514</v>
      </c>
      <c r="C42" s="476">
        <v>3302.24</v>
      </c>
      <c r="D42" s="468">
        <v>2617.9699999999998</v>
      </c>
      <c r="E42" s="468">
        <v>3665.4</v>
      </c>
      <c r="K42" s="469">
        <f t="shared" si="7"/>
        <v>5500</v>
      </c>
      <c r="L42" s="497">
        <f t="shared" si="8"/>
        <v>5500</v>
      </c>
      <c r="M42" s="500">
        <f t="shared" si="5"/>
        <v>0</v>
      </c>
      <c r="N42" s="477" t="str">
        <f t="shared" si="6"/>
        <v/>
      </c>
      <c r="O42" s="470"/>
      <c r="P42" s="471"/>
      <c r="Q42" s="732"/>
    </row>
    <row r="43" spans="1:17" x14ac:dyDescent="0.25">
      <c r="A43" s="907">
        <v>5284</v>
      </c>
      <c r="B43" s="472" t="s">
        <v>97</v>
      </c>
      <c r="C43" s="476">
        <v>12531.6</v>
      </c>
      <c r="D43" s="468">
        <v>12690.59</v>
      </c>
      <c r="E43" s="468">
        <v>12756.08</v>
      </c>
      <c r="K43" s="469">
        <f t="shared" si="7"/>
        <v>18000</v>
      </c>
      <c r="L43" s="497">
        <f t="shared" si="8"/>
        <v>20000</v>
      </c>
      <c r="M43" s="500">
        <f t="shared" si="5"/>
        <v>2000</v>
      </c>
      <c r="N43" s="477">
        <f t="shared" si="6"/>
        <v>0.1111</v>
      </c>
      <c r="O43" s="470" t="s">
        <v>1359</v>
      </c>
      <c r="P43" s="471"/>
      <c r="Q43" s="732"/>
    </row>
    <row r="44" spans="1:17" x14ac:dyDescent="0.25">
      <c r="A44" s="907">
        <v>5285</v>
      </c>
      <c r="B44" s="472" t="s">
        <v>1257</v>
      </c>
      <c r="C44" s="478"/>
      <c r="D44" s="481"/>
      <c r="E44" s="481"/>
      <c r="K44" s="469">
        <f t="shared" si="7"/>
        <v>150000</v>
      </c>
      <c r="L44" s="497">
        <f t="shared" si="8"/>
        <v>157500</v>
      </c>
      <c r="M44" s="500">
        <f t="shared" si="5"/>
        <v>7500</v>
      </c>
      <c r="N44" s="477">
        <f t="shared" si="6"/>
        <v>0.05</v>
      </c>
      <c r="O44" s="471"/>
      <c r="P44" s="471"/>
      <c r="Q44" s="732"/>
    </row>
    <row r="45" spans="1:17" x14ac:dyDescent="0.25">
      <c r="A45" s="907">
        <v>5315</v>
      </c>
      <c r="B45" s="472" t="s">
        <v>975</v>
      </c>
      <c r="C45" s="478"/>
      <c r="D45" s="481"/>
      <c r="E45" s="481"/>
      <c r="K45" s="469">
        <f t="shared" ref="K45:K47" si="9">M22</f>
        <v>1500</v>
      </c>
      <c r="L45" s="497">
        <f t="shared" ref="L45:L47" si="10">+O22</f>
        <v>1500</v>
      </c>
      <c r="M45" s="500">
        <f t="shared" si="5"/>
        <v>0</v>
      </c>
      <c r="N45" s="477" t="str">
        <f t="shared" si="6"/>
        <v/>
      </c>
      <c r="O45" s="470"/>
      <c r="P45" s="471"/>
      <c r="Q45" s="732"/>
    </row>
    <row r="46" spans="1:17" x14ac:dyDescent="0.25">
      <c r="A46" s="907">
        <v>5380</v>
      </c>
      <c r="B46" s="472" t="s">
        <v>1069</v>
      </c>
      <c r="C46" s="478"/>
      <c r="D46" s="481"/>
      <c r="E46" s="481"/>
      <c r="K46" s="469">
        <f t="shared" si="9"/>
        <v>0</v>
      </c>
      <c r="L46" s="497">
        <f t="shared" si="10"/>
        <v>0</v>
      </c>
      <c r="M46" s="500">
        <f t="shared" si="5"/>
        <v>0</v>
      </c>
      <c r="N46" s="477" t="str">
        <f t="shared" si="6"/>
        <v/>
      </c>
      <c r="O46" s="470"/>
      <c r="P46" s="471"/>
      <c r="Q46" s="732"/>
    </row>
    <row r="47" spans="1:17" ht="13.8" thickBot="1" x14ac:dyDescent="0.3">
      <c r="A47" s="907">
        <v>5420</v>
      </c>
      <c r="B47" s="472" t="s">
        <v>144</v>
      </c>
      <c r="C47" s="474">
        <v>7536.34</v>
      </c>
      <c r="D47" s="474">
        <v>4635.58</v>
      </c>
      <c r="E47" s="474">
        <v>4881.71</v>
      </c>
      <c r="K47" s="469">
        <f t="shared" si="9"/>
        <v>9000</v>
      </c>
      <c r="L47" s="497">
        <f t="shared" si="10"/>
        <v>9000</v>
      </c>
      <c r="M47" s="500">
        <f t="shared" si="5"/>
        <v>0</v>
      </c>
      <c r="N47" s="477" t="str">
        <f t="shared" si="6"/>
        <v/>
      </c>
      <c r="O47" s="470"/>
      <c r="P47" s="471"/>
      <c r="Q47" s="732"/>
    </row>
    <row r="48" spans="1:17" x14ac:dyDescent="0.25">
      <c r="A48" s="876"/>
      <c r="B48" s="4"/>
      <c r="C48" s="23"/>
      <c r="D48" s="23"/>
      <c r="E48" s="23"/>
      <c r="F48" s="23"/>
      <c r="G48" s="23"/>
      <c r="K48" s="23"/>
      <c r="L48" s="23"/>
      <c r="M48" s="23"/>
      <c r="N48" s="27"/>
      <c r="O48" s="23"/>
      <c r="P48" s="23"/>
      <c r="Q48" s="23"/>
    </row>
    <row r="49" spans="1:17" x14ac:dyDescent="0.25">
      <c r="A49" s="876"/>
      <c r="B49" s="4" t="s">
        <v>1363</v>
      </c>
      <c r="C49" s="23"/>
      <c r="D49" s="23"/>
      <c r="E49" s="23"/>
      <c r="F49" s="23"/>
      <c r="G49" s="23"/>
      <c r="K49" s="742">
        <f>SUM(K34:K47)</f>
        <v>624796</v>
      </c>
      <c r="L49" s="742">
        <f>SUM(L34:L47)</f>
        <v>655985</v>
      </c>
      <c r="M49" s="202">
        <f>+L49-K49</f>
        <v>31189</v>
      </c>
      <c r="N49" s="743">
        <f>IF(K49+L49&lt;&gt;0,IF(K49&lt;&gt;0,IF(M49&lt;&gt;0,ROUND((+M49/K49),4),""),1),"")</f>
        <v>4.99E-2</v>
      </c>
      <c r="O49" s="23"/>
      <c r="P49" s="23"/>
      <c r="Q49" s="23"/>
    </row>
    <row r="50" spans="1:17" x14ac:dyDescent="0.25">
      <c r="A50" s="876"/>
      <c r="B50" s="4"/>
      <c r="C50" s="23"/>
      <c r="D50" s="23"/>
      <c r="E50" s="23"/>
      <c r="F50" s="23"/>
      <c r="G50" s="23"/>
      <c r="H50" s="23"/>
      <c r="I50" s="23"/>
      <c r="J50" s="23"/>
      <c r="K50" s="23"/>
      <c r="L50" s="23"/>
      <c r="M50" s="23"/>
      <c r="N50" s="27"/>
      <c r="O50" s="23"/>
      <c r="P50" s="23"/>
      <c r="Q50" s="23"/>
    </row>
    <row r="51" spans="1:17" x14ac:dyDescent="0.25">
      <c r="A51" s="876"/>
      <c r="B51" s="4"/>
      <c r="C51" s="23"/>
      <c r="D51" s="23"/>
      <c r="E51" s="23"/>
      <c r="F51" s="23"/>
      <c r="G51" s="23"/>
      <c r="H51" s="23"/>
      <c r="I51" s="23"/>
      <c r="J51" s="23"/>
      <c r="K51" s="23"/>
      <c r="L51" s="23"/>
      <c r="M51" s="23"/>
      <c r="N51" s="27"/>
      <c r="O51" s="23"/>
      <c r="P51" s="23"/>
      <c r="Q51" s="23"/>
    </row>
    <row r="52" spans="1:17" x14ac:dyDescent="0.25">
      <c r="A52" s="876"/>
      <c r="B52" s="4"/>
      <c r="C52" s="23"/>
      <c r="D52" s="23"/>
      <c r="E52" s="23"/>
      <c r="F52" s="23"/>
      <c r="G52" s="23"/>
      <c r="H52" s="23"/>
      <c r="I52" s="23"/>
      <c r="J52" s="23"/>
      <c r="K52" s="23"/>
      <c r="L52" s="23"/>
      <c r="M52" s="23"/>
      <c r="N52" s="27"/>
      <c r="O52" s="23"/>
      <c r="P52" s="23"/>
      <c r="Q52" s="23"/>
    </row>
    <row r="53" spans="1:17" x14ac:dyDescent="0.25">
      <c r="A53" s="876"/>
      <c r="B53" s="4"/>
      <c r="C53" s="23"/>
      <c r="D53" s="23"/>
      <c r="E53" s="23"/>
      <c r="F53" s="23"/>
      <c r="G53" s="23"/>
      <c r="H53" s="23"/>
      <c r="I53" s="23"/>
      <c r="J53" s="23"/>
      <c r="K53" s="23"/>
      <c r="L53" s="23"/>
      <c r="M53" s="23"/>
      <c r="N53" s="27"/>
      <c r="O53" s="23"/>
      <c r="P53" s="23"/>
      <c r="Q53" s="23"/>
    </row>
    <row r="54" spans="1:17" x14ac:dyDescent="0.25">
      <c r="A54" s="876"/>
      <c r="B54" s="4"/>
      <c r="C54" s="23"/>
      <c r="D54" s="23"/>
      <c r="E54" s="23"/>
      <c r="F54" s="23"/>
      <c r="G54" s="23"/>
      <c r="H54" s="23"/>
      <c r="I54" s="23"/>
      <c r="J54" s="23"/>
      <c r="K54" s="23"/>
      <c r="L54" s="23"/>
      <c r="M54" s="23"/>
      <c r="N54" s="27"/>
      <c r="O54" s="23"/>
      <c r="P54" s="23"/>
      <c r="Q54" s="23"/>
    </row>
    <row r="55" spans="1:17" x14ac:dyDescent="0.25">
      <c r="A55" s="876"/>
      <c r="B55" s="4"/>
      <c r="C55" s="23"/>
      <c r="D55" s="23"/>
      <c r="E55" s="23"/>
      <c r="F55" s="23"/>
      <c r="G55" s="23"/>
      <c r="H55" s="23"/>
      <c r="I55" s="23"/>
      <c r="J55" s="23"/>
      <c r="K55" s="23"/>
      <c r="L55" s="23"/>
      <c r="M55" s="23"/>
      <c r="N55" s="27"/>
      <c r="O55" s="23"/>
      <c r="P55" s="23"/>
      <c r="Q55" s="23"/>
    </row>
    <row r="56" spans="1:17" x14ac:dyDescent="0.25">
      <c r="A56" s="876"/>
      <c r="B56" s="4"/>
      <c r="C56" s="23"/>
      <c r="D56" s="23"/>
      <c r="E56" s="23"/>
      <c r="F56" s="23"/>
      <c r="G56" s="23"/>
      <c r="H56" s="23"/>
      <c r="I56" s="23"/>
      <c r="J56" s="23"/>
      <c r="K56" s="23"/>
      <c r="L56" s="23"/>
      <c r="M56" s="23"/>
      <c r="N56" s="27"/>
      <c r="O56" s="23"/>
      <c r="P56" s="23"/>
      <c r="Q56" s="23"/>
    </row>
    <row r="57" spans="1:17" x14ac:dyDescent="0.25">
      <c r="A57" s="876"/>
      <c r="B57" s="4"/>
      <c r="C57" s="23"/>
      <c r="D57" s="23"/>
      <c r="E57" s="23"/>
      <c r="F57" s="23"/>
      <c r="G57" s="23"/>
      <c r="H57" s="23"/>
      <c r="I57" s="23"/>
      <c r="J57" s="23"/>
      <c r="K57" s="23"/>
      <c r="L57" s="23"/>
      <c r="M57" s="23"/>
      <c r="N57" s="27"/>
      <c r="O57" s="23"/>
      <c r="P57" s="23"/>
      <c r="Q57" s="23"/>
    </row>
    <row r="58" spans="1:17" x14ac:dyDescent="0.25">
      <c r="A58" s="876"/>
      <c r="B58" s="4"/>
      <c r="C58" s="23"/>
      <c r="D58" s="23"/>
      <c r="E58" s="23"/>
      <c r="F58" s="23"/>
      <c r="G58" s="23"/>
      <c r="H58" s="23"/>
      <c r="I58" s="23"/>
      <c r="J58" s="23"/>
      <c r="K58" s="23"/>
      <c r="L58" s="23"/>
      <c r="M58" s="23"/>
      <c r="N58" s="27"/>
      <c r="O58" s="23"/>
      <c r="P58" s="23"/>
      <c r="Q58" s="23"/>
    </row>
    <row r="59" spans="1:17" x14ac:dyDescent="0.25">
      <c r="A59" s="876"/>
      <c r="B59" s="4"/>
      <c r="C59" s="23"/>
      <c r="D59" s="23"/>
      <c r="E59" s="23"/>
      <c r="F59" s="23"/>
      <c r="G59" s="23"/>
      <c r="H59" s="23"/>
      <c r="I59" s="23"/>
      <c r="J59" s="23"/>
      <c r="K59" s="23"/>
      <c r="L59" s="23"/>
      <c r="M59" s="23"/>
      <c r="N59" s="27"/>
      <c r="O59" s="23"/>
      <c r="P59" s="23"/>
      <c r="Q59" s="23"/>
    </row>
    <row r="60" spans="1:17" x14ac:dyDescent="0.25">
      <c r="A60" s="876"/>
      <c r="B60" s="4"/>
      <c r="C60" s="23"/>
      <c r="D60" s="23"/>
      <c r="E60" s="23"/>
      <c r="F60" s="23"/>
      <c r="G60" s="23"/>
      <c r="H60" s="23"/>
      <c r="I60" s="23"/>
      <c r="J60" s="23"/>
      <c r="K60" s="23"/>
      <c r="L60" s="23"/>
      <c r="M60" s="23"/>
      <c r="N60" s="27"/>
      <c r="O60" s="23"/>
      <c r="P60" s="23"/>
      <c r="Q60" s="23"/>
    </row>
    <row r="61" spans="1:17" x14ac:dyDescent="0.25">
      <c r="A61" s="876"/>
      <c r="B61" s="4"/>
      <c r="C61" s="23"/>
      <c r="D61" s="23"/>
      <c r="E61" s="23"/>
      <c r="F61" s="23"/>
      <c r="G61" s="23"/>
      <c r="H61" s="23"/>
      <c r="I61" s="23"/>
      <c r="J61" s="23"/>
      <c r="K61" s="23"/>
      <c r="L61" s="23"/>
      <c r="M61" s="23"/>
      <c r="N61" s="27"/>
      <c r="O61" s="23"/>
      <c r="P61" s="23"/>
      <c r="Q61" s="23"/>
    </row>
    <row r="62" spans="1:17" x14ac:dyDescent="0.25">
      <c r="A62" s="876"/>
      <c r="B62" s="4"/>
      <c r="C62" s="23"/>
      <c r="D62" s="23"/>
      <c r="E62" s="23"/>
      <c r="F62" s="23"/>
      <c r="G62" s="23"/>
      <c r="H62" s="23"/>
      <c r="I62" s="23"/>
      <c r="J62" s="23"/>
      <c r="K62" s="23"/>
      <c r="L62" s="23"/>
      <c r="M62" s="23"/>
      <c r="N62" s="27"/>
      <c r="O62" s="23"/>
      <c r="P62" s="23"/>
      <c r="Q62" s="23"/>
    </row>
    <row r="63" spans="1:17" x14ac:dyDescent="0.25">
      <c r="A63" s="876"/>
      <c r="B63" s="4"/>
      <c r="C63" s="23"/>
      <c r="D63" s="23"/>
      <c r="E63" s="23"/>
      <c r="F63" s="23"/>
      <c r="G63" s="23"/>
      <c r="H63" s="23"/>
      <c r="I63" s="23"/>
      <c r="J63" s="23"/>
      <c r="K63" s="23"/>
      <c r="L63" s="23"/>
      <c r="M63" s="23"/>
      <c r="N63" s="27"/>
      <c r="O63" s="23"/>
      <c r="P63" s="23"/>
      <c r="Q63" s="23"/>
    </row>
    <row r="64" spans="1:17" x14ac:dyDescent="0.25">
      <c r="A64" s="876"/>
      <c r="B64" s="4"/>
      <c r="C64" s="23"/>
      <c r="D64" s="23"/>
      <c r="E64" s="23"/>
      <c r="F64" s="23"/>
      <c r="G64" s="23"/>
      <c r="H64" s="23"/>
      <c r="I64" s="23"/>
      <c r="J64" s="23"/>
      <c r="K64" s="23"/>
      <c r="L64" s="23"/>
      <c r="M64" s="23"/>
      <c r="N64" s="27"/>
      <c r="O64" s="23"/>
      <c r="P64" s="23"/>
      <c r="Q64" s="23"/>
    </row>
    <row r="65" spans="1:17" x14ac:dyDescent="0.25">
      <c r="A65" s="876"/>
      <c r="B65" s="4"/>
      <c r="C65" s="23"/>
      <c r="D65" s="23"/>
      <c r="E65" s="23"/>
      <c r="F65" s="23"/>
      <c r="G65" s="23"/>
      <c r="H65" s="23"/>
      <c r="I65" s="23"/>
      <c r="J65" s="23"/>
      <c r="K65" s="23"/>
      <c r="L65" s="23"/>
      <c r="M65" s="23"/>
      <c r="N65" s="27"/>
      <c r="O65" s="23"/>
      <c r="P65" s="23"/>
      <c r="Q65" s="23"/>
    </row>
    <row r="66" spans="1:17" x14ac:dyDescent="0.25">
      <c r="A66" s="876"/>
      <c r="B66" s="4"/>
      <c r="C66" s="23"/>
      <c r="D66" s="23"/>
      <c r="E66" s="23"/>
      <c r="F66" s="23"/>
      <c r="G66" s="23"/>
      <c r="H66" s="23"/>
      <c r="I66" s="23"/>
      <c r="J66" s="23"/>
      <c r="K66" s="23"/>
      <c r="L66" s="23"/>
      <c r="M66" s="23"/>
      <c r="N66" s="27"/>
      <c r="O66" s="23"/>
      <c r="P66" s="23"/>
      <c r="Q66" s="23"/>
    </row>
    <row r="67" spans="1:17" x14ac:dyDescent="0.25">
      <c r="A67" s="876"/>
      <c r="B67" s="4"/>
      <c r="C67" s="23"/>
      <c r="D67" s="23"/>
      <c r="E67" s="23"/>
      <c r="F67" s="23"/>
      <c r="G67" s="23"/>
      <c r="H67" s="23"/>
      <c r="I67" s="23"/>
      <c r="J67" s="23"/>
      <c r="K67" s="23"/>
      <c r="L67" s="23"/>
      <c r="M67" s="23"/>
      <c r="N67" s="4"/>
      <c r="O67" s="23"/>
      <c r="P67" s="23"/>
      <c r="Q67" s="23"/>
    </row>
    <row r="68" spans="1:17" x14ac:dyDescent="0.25">
      <c r="A68" s="876"/>
      <c r="B68" s="4"/>
      <c r="C68" s="23"/>
      <c r="D68" s="23"/>
      <c r="E68" s="23"/>
      <c r="F68" s="23"/>
      <c r="G68" s="23"/>
      <c r="H68" s="23"/>
      <c r="I68" s="23"/>
      <c r="J68" s="23"/>
      <c r="K68" s="23"/>
      <c r="L68" s="23"/>
      <c r="M68" s="23"/>
      <c r="N68" s="4"/>
      <c r="O68" s="23"/>
      <c r="P68" s="23"/>
      <c r="Q68" s="23"/>
    </row>
    <row r="69" spans="1:17" x14ac:dyDescent="0.25">
      <c r="A69" s="876"/>
      <c r="B69" s="4"/>
      <c r="C69" s="23"/>
      <c r="D69" s="23"/>
      <c r="E69" s="23"/>
      <c r="F69" s="23"/>
      <c r="G69" s="23"/>
      <c r="H69" s="23"/>
      <c r="I69" s="23"/>
      <c r="J69" s="23"/>
      <c r="K69" s="23"/>
      <c r="L69" s="23"/>
      <c r="M69" s="23"/>
      <c r="N69" s="4"/>
      <c r="O69" s="23"/>
      <c r="P69" s="23"/>
      <c r="Q69" s="23"/>
    </row>
    <row r="70" spans="1:17" x14ac:dyDescent="0.25">
      <c r="A70" s="876"/>
      <c r="B70" s="4"/>
      <c r="C70" s="23"/>
      <c r="D70" s="23"/>
      <c r="E70" s="23"/>
      <c r="F70" s="23"/>
      <c r="G70" s="23"/>
      <c r="H70" s="23"/>
      <c r="I70" s="23"/>
      <c r="J70" s="23"/>
      <c r="K70" s="23"/>
      <c r="L70" s="23"/>
      <c r="M70" s="23"/>
      <c r="N70" s="4"/>
      <c r="O70" s="23"/>
      <c r="P70" s="23"/>
      <c r="Q70" s="23"/>
    </row>
    <row r="71" spans="1:17" x14ac:dyDescent="0.25">
      <c r="A71" s="876"/>
      <c r="B71" s="4"/>
      <c r="C71" s="23"/>
      <c r="D71" s="23"/>
      <c r="E71" s="23"/>
      <c r="F71" s="23"/>
      <c r="G71" s="23"/>
      <c r="H71" s="23"/>
      <c r="I71" s="23"/>
      <c r="J71" s="23"/>
      <c r="K71" s="23"/>
      <c r="L71" s="23"/>
      <c r="M71" s="23"/>
      <c r="N71" s="4"/>
      <c r="O71" s="23"/>
      <c r="P71" s="23"/>
      <c r="Q71" s="23"/>
    </row>
    <row r="72" spans="1:17" x14ac:dyDescent="0.25">
      <c r="A72" s="876"/>
      <c r="B72" s="4"/>
      <c r="C72" s="23"/>
      <c r="D72" s="23"/>
      <c r="E72" s="23"/>
      <c r="F72" s="23"/>
      <c r="G72" s="23"/>
      <c r="H72" s="23"/>
      <c r="I72" s="23"/>
      <c r="J72" s="23"/>
      <c r="K72" s="23"/>
      <c r="L72" s="23"/>
      <c r="M72" s="23"/>
      <c r="N72" s="4"/>
      <c r="O72" s="23"/>
      <c r="P72" s="23"/>
      <c r="Q72" s="23"/>
    </row>
    <row r="73" spans="1:17" x14ac:dyDescent="0.25">
      <c r="A73" s="876"/>
      <c r="B73" s="4"/>
      <c r="C73" s="23"/>
      <c r="D73" s="23"/>
      <c r="E73" s="23"/>
      <c r="F73" s="23"/>
      <c r="G73" s="23"/>
      <c r="H73" s="23"/>
      <c r="I73" s="23"/>
      <c r="J73" s="23"/>
      <c r="K73" s="23"/>
      <c r="L73" s="23"/>
      <c r="M73" s="23"/>
      <c r="N73" s="4"/>
      <c r="O73" s="23"/>
      <c r="P73" s="23"/>
      <c r="Q73" s="23"/>
    </row>
    <row r="74" spans="1:17" x14ac:dyDescent="0.25">
      <c r="A74" s="876"/>
      <c r="B74" s="4"/>
      <c r="C74" s="23"/>
      <c r="D74" s="23"/>
      <c r="E74" s="23"/>
      <c r="F74" s="23"/>
      <c r="G74" s="23"/>
      <c r="H74" s="23"/>
      <c r="I74" s="23"/>
      <c r="J74" s="23"/>
      <c r="K74" s="23"/>
      <c r="L74" s="23"/>
      <c r="M74" s="23"/>
      <c r="N74" s="4"/>
      <c r="O74" s="23"/>
      <c r="P74" s="23"/>
      <c r="Q74" s="23"/>
    </row>
    <row r="75" spans="1:17" x14ac:dyDescent="0.25">
      <c r="A75" s="876"/>
      <c r="B75" s="4"/>
      <c r="C75" s="23"/>
      <c r="D75" s="23"/>
      <c r="E75" s="23"/>
      <c r="F75" s="23"/>
      <c r="G75" s="23"/>
      <c r="H75" s="23"/>
      <c r="I75" s="23"/>
      <c r="J75" s="23"/>
      <c r="K75" s="23"/>
      <c r="L75" s="23"/>
      <c r="M75" s="23"/>
      <c r="N75" s="4"/>
      <c r="O75" s="23"/>
      <c r="P75" s="23"/>
      <c r="Q75" s="23"/>
    </row>
    <row r="76" spans="1:17" x14ac:dyDescent="0.25">
      <c r="A76" s="876"/>
      <c r="B76" s="4"/>
      <c r="C76" s="23"/>
      <c r="D76" s="23"/>
      <c r="E76" s="23"/>
      <c r="F76" s="23"/>
      <c r="G76" s="23"/>
      <c r="H76" s="23"/>
      <c r="I76" s="23"/>
      <c r="J76" s="23"/>
      <c r="K76" s="23"/>
      <c r="L76" s="23"/>
      <c r="M76" s="23"/>
      <c r="N76" s="4"/>
      <c r="O76" s="23"/>
      <c r="P76" s="23"/>
      <c r="Q76" s="23"/>
    </row>
    <row r="77" spans="1:17" x14ac:dyDescent="0.25">
      <c r="A77" s="876"/>
      <c r="B77" s="4"/>
      <c r="C77" s="23"/>
      <c r="D77" s="23"/>
      <c r="E77" s="23"/>
      <c r="F77" s="23"/>
      <c r="G77" s="23"/>
      <c r="H77" s="23"/>
      <c r="I77" s="23"/>
      <c r="J77" s="23"/>
      <c r="K77" s="23"/>
      <c r="L77" s="23"/>
      <c r="M77" s="23"/>
      <c r="N77" s="4"/>
      <c r="O77" s="23"/>
      <c r="P77" s="23"/>
      <c r="Q77" s="23"/>
    </row>
    <row r="78" spans="1:17" x14ac:dyDescent="0.25">
      <c r="A78" s="876"/>
      <c r="B78" s="4"/>
      <c r="C78" s="23"/>
      <c r="D78" s="23"/>
      <c r="E78" s="23"/>
      <c r="F78" s="23"/>
      <c r="G78" s="23"/>
      <c r="H78" s="23"/>
      <c r="I78" s="23"/>
      <c r="J78" s="23"/>
      <c r="K78" s="23"/>
      <c r="L78" s="23"/>
      <c r="M78" s="23"/>
      <c r="N78" s="4"/>
      <c r="O78" s="23"/>
      <c r="P78" s="23"/>
      <c r="Q78" s="23"/>
    </row>
    <row r="79" spans="1:17" x14ac:dyDescent="0.25">
      <c r="A79" s="876"/>
      <c r="B79" s="4"/>
      <c r="C79" s="23"/>
      <c r="D79" s="23"/>
      <c r="E79" s="23"/>
      <c r="F79" s="23"/>
      <c r="G79" s="23"/>
      <c r="H79" s="23"/>
      <c r="I79" s="23"/>
      <c r="J79" s="23"/>
      <c r="K79" s="23"/>
      <c r="L79" s="23"/>
      <c r="M79" s="23"/>
      <c r="N79" s="4"/>
      <c r="O79" s="23"/>
      <c r="P79" s="23"/>
      <c r="Q79" s="23"/>
    </row>
    <row r="80" spans="1:17" x14ac:dyDescent="0.25">
      <c r="A80" s="876"/>
      <c r="B80" s="4"/>
      <c r="C80" s="23"/>
      <c r="D80" s="23"/>
      <c r="E80" s="23"/>
      <c r="F80" s="23"/>
      <c r="G80" s="23"/>
      <c r="H80" s="23"/>
      <c r="I80" s="23"/>
      <c r="J80" s="23"/>
      <c r="K80" s="23"/>
      <c r="L80" s="23"/>
      <c r="M80" s="23"/>
      <c r="N80" s="4"/>
      <c r="O80" s="23"/>
      <c r="P80" s="23"/>
      <c r="Q80" s="23"/>
    </row>
    <row r="81" spans="1:17" x14ac:dyDescent="0.25">
      <c r="A81" s="876"/>
      <c r="B81" s="4"/>
      <c r="C81" s="23"/>
      <c r="D81" s="23"/>
      <c r="E81" s="23"/>
      <c r="F81" s="23"/>
      <c r="G81" s="23"/>
      <c r="H81" s="23"/>
      <c r="I81" s="23"/>
      <c r="J81" s="23"/>
      <c r="K81" s="23"/>
      <c r="L81" s="23"/>
      <c r="M81" s="23"/>
      <c r="N81" s="4"/>
      <c r="O81" s="23"/>
      <c r="P81" s="23"/>
      <c r="Q81" s="23"/>
    </row>
    <row r="82" spans="1:17" x14ac:dyDescent="0.25">
      <c r="A82" s="876"/>
      <c r="B82" s="4"/>
      <c r="C82" s="23"/>
      <c r="D82" s="23"/>
      <c r="E82" s="23"/>
      <c r="F82" s="23"/>
      <c r="G82" s="23"/>
      <c r="H82" s="23"/>
      <c r="I82" s="23"/>
      <c r="J82" s="23"/>
      <c r="K82" s="23"/>
      <c r="L82" s="23"/>
      <c r="M82" s="23"/>
      <c r="N82" s="4"/>
      <c r="O82" s="23"/>
      <c r="P82" s="23"/>
      <c r="Q82" s="23"/>
    </row>
    <row r="83" spans="1:17" x14ac:dyDescent="0.25">
      <c r="A83" s="876"/>
      <c r="B83" s="4"/>
      <c r="C83" s="23"/>
      <c r="D83" s="23"/>
      <c r="E83" s="23"/>
      <c r="F83" s="23"/>
      <c r="G83" s="23"/>
      <c r="H83" s="23"/>
      <c r="I83" s="23"/>
      <c r="J83" s="23"/>
      <c r="K83" s="23"/>
      <c r="L83" s="23"/>
      <c r="M83" s="23"/>
      <c r="N83" s="4"/>
      <c r="O83" s="23"/>
      <c r="P83" s="23"/>
      <c r="Q83" s="23"/>
    </row>
    <row r="84" spans="1:17" x14ac:dyDescent="0.25">
      <c r="A84" s="876"/>
      <c r="B84" s="4"/>
      <c r="C84" s="23"/>
      <c r="D84" s="23"/>
      <c r="E84" s="23"/>
      <c r="F84" s="23"/>
      <c r="G84" s="23"/>
      <c r="H84" s="23"/>
      <c r="I84" s="23"/>
      <c r="J84" s="23"/>
      <c r="K84" s="23"/>
      <c r="L84" s="23"/>
      <c r="M84" s="23"/>
      <c r="N84" s="4"/>
      <c r="O84" s="23"/>
      <c r="P84" s="23"/>
      <c r="Q84" s="23"/>
    </row>
    <row r="85" spans="1:17" x14ac:dyDescent="0.25">
      <c r="A85" s="876"/>
      <c r="B85" s="4"/>
      <c r="C85" s="23"/>
      <c r="D85" s="23"/>
      <c r="E85" s="23"/>
      <c r="F85" s="23"/>
      <c r="G85" s="23"/>
      <c r="H85" s="23"/>
      <c r="I85" s="23"/>
      <c r="J85" s="23"/>
      <c r="K85" s="23"/>
      <c r="L85" s="23"/>
      <c r="M85" s="23"/>
      <c r="N85" s="4"/>
      <c r="O85" s="23"/>
      <c r="P85" s="23"/>
      <c r="Q85" s="23"/>
    </row>
    <row r="86" spans="1:17" x14ac:dyDescent="0.25">
      <c r="A86" s="876"/>
      <c r="B86" s="4"/>
      <c r="C86" s="23"/>
      <c r="D86" s="23"/>
      <c r="E86" s="23"/>
      <c r="F86" s="23"/>
      <c r="G86" s="23"/>
      <c r="H86" s="23"/>
      <c r="I86" s="23"/>
      <c r="J86" s="23"/>
      <c r="K86" s="23"/>
      <c r="L86" s="23"/>
      <c r="M86" s="23"/>
      <c r="N86" s="4"/>
      <c r="O86" s="23"/>
      <c r="P86" s="23"/>
      <c r="Q86" s="23"/>
    </row>
    <row r="87" spans="1:17" x14ac:dyDescent="0.25">
      <c r="A87" s="876"/>
      <c r="B87" s="4"/>
      <c r="C87" s="23"/>
      <c r="D87" s="23"/>
      <c r="E87" s="23"/>
      <c r="F87" s="23"/>
      <c r="G87" s="23"/>
      <c r="H87" s="23"/>
      <c r="I87" s="23"/>
      <c r="J87" s="23"/>
      <c r="K87" s="23"/>
      <c r="L87" s="23"/>
      <c r="M87" s="23"/>
      <c r="N87" s="4"/>
      <c r="O87" s="23"/>
      <c r="P87" s="23"/>
      <c r="Q87" s="23"/>
    </row>
    <row r="88" spans="1:17" x14ac:dyDescent="0.25">
      <c r="A88" s="876"/>
      <c r="B88" s="4"/>
      <c r="C88" s="23"/>
      <c r="D88" s="23"/>
      <c r="E88" s="23"/>
      <c r="F88" s="23"/>
      <c r="G88" s="23"/>
      <c r="H88" s="23"/>
      <c r="I88" s="23"/>
      <c r="J88" s="23"/>
      <c r="K88" s="23"/>
      <c r="L88" s="23"/>
      <c r="M88" s="23"/>
      <c r="N88" s="4"/>
      <c r="O88" s="23"/>
      <c r="P88" s="23"/>
      <c r="Q88" s="23"/>
    </row>
    <row r="89" spans="1:17" x14ac:dyDescent="0.25">
      <c r="A89" s="876"/>
      <c r="B89" s="4"/>
      <c r="C89" s="23"/>
      <c r="D89" s="23"/>
      <c r="E89" s="23"/>
      <c r="F89" s="23"/>
      <c r="G89" s="23"/>
      <c r="H89" s="23"/>
      <c r="I89" s="23"/>
      <c r="J89" s="23"/>
      <c r="K89" s="23"/>
      <c r="L89" s="23"/>
      <c r="M89" s="23"/>
      <c r="N89" s="4"/>
      <c r="O89" s="23"/>
      <c r="P89" s="23"/>
      <c r="Q89" s="23"/>
    </row>
    <row r="90" spans="1:17" x14ac:dyDescent="0.25">
      <c r="A90" s="876"/>
      <c r="B90" s="4"/>
      <c r="C90" s="23"/>
      <c r="D90" s="23"/>
      <c r="E90" s="23"/>
      <c r="F90" s="23"/>
      <c r="G90" s="23"/>
      <c r="H90" s="23"/>
      <c r="I90" s="23"/>
      <c r="J90" s="23"/>
      <c r="K90" s="23"/>
      <c r="L90" s="23"/>
      <c r="M90" s="23"/>
      <c r="N90" s="4"/>
      <c r="O90" s="23"/>
      <c r="P90" s="23"/>
      <c r="Q90" s="23"/>
    </row>
    <row r="91" spans="1:17" x14ac:dyDescent="0.25">
      <c r="A91" s="876"/>
      <c r="B91" s="4"/>
      <c r="C91" s="23"/>
      <c r="D91" s="23"/>
      <c r="E91" s="23"/>
      <c r="F91" s="23"/>
      <c r="G91" s="23"/>
      <c r="H91" s="23"/>
      <c r="I91" s="23"/>
      <c r="J91" s="23"/>
      <c r="K91" s="23"/>
      <c r="L91" s="23"/>
      <c r="M91" s="23"/>
      <c r="N91" s="4"/>
      <c r="O91" s="23"/>
      <c r="P91" s="23"/>
      <c r="Q91" s="23"/>
    </row>
    <row r="92" spans="1:17" x14ac:dyDescent="0.25">
      <c r="A92" s="876"/>
      <c r="B92" s="4"/>
      <c r="C92" s="23"/>
      <c r="D92" s="23"/>
      <c r="E92" s="23"/>
      <c r="F92" s="23"/>
      <c r="G92" s="23"/>
      <c r="H92" s="23"/>
      <c r="I92" s="23"/>
      <c r="J92" s="23"/>
      <c r="K92" s="23"/>
      <c r="L92" s="23"/>
      <c r="M92" s="23"/>
      <c r="N92" s="4"/>
      <c r="O92" s="23"/>
      <c r="P92" s="23"/>
      <c r="Q92" s="23"/>
    </row>
    <row r="93" spans="1:17" x14ac:dyDescent="0.25">
      <c r="A93" s="876"/>
      <c r="B93" s="4"/>
      <c r="C93" s="23"/>
      <c r="D93" s="23"/>
      <c r="E93" s="23"/>
      <c r="F93" s="23"/>
      <c r="G93" s="23"/>
      <c r="H93" s="23"/>
      <c r="I93" s="23"/>
      <c r="J93" s="23"/>
      <c r="K93" s="23"/>
      <c r="L93" s="23"/>
      <c r="M93" s="23"/>
      <c r="N93" s="4"/>
      <c r="O93" s="23"/>
      <c r="P93" s="23"/>
      <c r="Q93" s="23"/>
    </row>
    <row r="94" spans="1:17" x14ac:dyDescent="0.25">
      <c r="A94" s="876"/>
      <c r="B94" s="4"/>
      <c r="C94" s="23"/>
      <c r="D94" s="23"/>
      <c r="E94" s="23"/>
      <c r="F94" s="23"/>
      <c r="G94" s="23"/>
      <c r="H94" s="23"/>
      <c r="I94" s="23"/>
      <c r="J94" s="23"/>
      <c r="K94" s="23"/>
      <c r="L94" s="23"/>
      <c r="M94" s="23"/>
      <c r="N94" s="4"/>
      <c r="O94" s="23"/>
      <c r="P94" s="23"/>
      <c r="Q94" s="23"/>
    </row>
    <row r="95" spans="1:17" x14ac:dyDescent="0.25">
      <c r="A95" s="876"/>
      <c r="B95" s="4"/>
      <c r="C95" s="23"/>
      <c r="D95" s="23"/>
      <c r="E95" s="23"/>
      <c r="F95" s="23"/>
      <c r="G95" s="23"/>
      <c r="H95" s="23"/>
      <c r="I95" s="23"/>
      <c r="J95" s="23"/>
      <c r="K95" s="23"/>
      <c r="L95" s="23"/>
      <c r="M95" s="23"/>
      <c r="N95" s="4"/>
      <c r="O95" s="23"/>
      <c r="P95" s="23"/>
      <c r="Q95" s="23"/>
    </row>
    <row r="96" spans="1:17" x14ac:dyDescent="0.25">
      <c r="A96" s="876"/>
      <c r="B96" s="4"/>
      <c r="C96" s="23"/>
      <c r="D96" s="23"/>
      <c r="E96" s="23"/>
      <c r="F96" s="23"/>
      <c r="G96" s="23"/>
      <c r="H96" s="23"/>
      <c r="I96" s="23"/>
      <c r="J96" s="23"/>
      <c r="K96" s="23"/>
      <c r="L96" s="23"/>
      <c r="M96" s="23"/>
      <c r="N96" s="4"/>
      <c r="O96" s="23"/>
      <c r="P96" s="23"/>
      <c r="Q96" s="23"/>
    </row>
    <row r="97" spans="1:17" x14ac:dyDescent="0.25">
      <c r="A97" s="876"/>
      <c r="B97" s="4"/>
      <c r="C97" s="23"/>
      <c r="D97" s="23"/>
      <c r="E97" s="23"/>
      <c r="F97" s="23"/>
      <c r="G97" s="23"/>
      <c r="H97" s="23"/>
      <c r="I97" s="23"/>
      <c r="J97" s="23"/>
      <c r="K97" s="23"/>
      <c r="L97" s="23"/>
      <c r="M97" s="23"/>
      <c r="N97" s="4"/>
      <c r="O97" s="23"/>
      <c r="P97" s="23"/>
      <c r="Q97" s="23"/>
    </row>
    <row r="98" spans="1:17" x14ac:dyDescent="0.25">
      <c r="A98" s="876"/>
      <c r="B98" s="4"/>
      <c r="C98" s="23"/>
      <c r="D98" s="23"/>
      <c r="E98" s="23"/>
      <c r="F98" s="23"/>
      <c r="G98" s="23"/>
      <c r="H98" s="23"/>
      <c r="I98" s="23"/>
      <c r="J98" s="23"/>
      <c r="K98" s="23"/>
      <c r="L98" s="23"/>
      <c r="M98" s="23"/>
      <c r="N98" s="4"/>
      <c r="O98" s="23"/>
      <c r="P98" s="23"/>
      <c r="Q98" s="23"/>
    </row>
    <row r="99" spans="1:17" x14ac:dyDescent="0.25">
      <c r="A99" s="876"/>
      <c r="B99" s="4"/>
      <c r="C99" s="23"/>
      <c r="D99" s="23"/>
      <c r="E99" s="23"/>
      <c r="F99" s="23"/>
      <c r="G99" s="23"/>
      <c r="H99" s="23"/>
      <c r="I99" s="23"/>
      <c r="J99" s="23"/>
      <c r="K99" s="23"/>
      <c r="L99" s="23"/>
      <c r="M99" s="23"/>
      <c r="N99" s="4"/>
      <c r="O99" s="23"/>
      <c r="P99" s="23"/>
      <c r="Q99" s="23"/>
    </row>
    <row r="100" spans="1:17" x14ac:dyDescent="0.25">
      <c r="A100" s="876"/>
      <c r="B100" s="4"/>
      <c r="C100" s="23"/>
      <c r="D100" s="23"/>
      <c r="E100" s="23"/>
      <c r="F100" s="23"/>
      <c r="G100" s="23"/>
      <c r="H100" s="23"/>
      <c r="I100" s="23"/>
      <c r="J100" s="23"/>
      <c r="K100" s="23"/>
      <c r="L100" s="23"/>
      <c r="M100" s="23"/>
      <c r="N100" s="4"/>
      <c r="O100" s="23"/>
      <c r="P100" s="23"/>
      <c r="Q100" s="23"/>
    </row>
    <row r="101" spans="1:17" x14ac:dyDescent="0.25">
      <c r="A101" s="876"/>
      <c r="B101" s="4"/>
      <c r="C101" s="23"/>
      <c r="D101" s="23"/>
      <c r="E101" s="23"/>
      <c r="F101" s="23"/>
      <c r="G101" s="23"/>
      <c r="H101" s="23"/>
      <c r="I101" s="23"/>
      <c r="J101" s="23"/>
      <c r="K101" s="23"/>
      <c r="L101" s="23"/>
      <c r="M101" s="23"/>
      <c r="N101" s="4"/>
      <c r="O101" s="23"/>
      <c r="P101" s="23"/>
      <c r="Q101" s="23"/>
    </row>
    <row r="102" spans="1:17" x14ac:dyDescent="0.25">
      <c r="A102" s="876"/>
      <c r="B102" s="4"/>
      <c r="C102" s="23"/>
      <c r="D102" s="23"/>
      <c r="E102" s="23"/>
      <c r="F102" s="23"/>
      <c r="G102" s="23"/>
      <c r="H102" s="23"/>
      <c r="I102" s="23"/>
      <c r="J102" s="23"/>
      <c r="K102" s="23"/>
      <c r="L102" s="23"/>
      <c r="M102" s="23"/>
      <c r="N102" s="4"/>
      <c r="O102" s="23"/>
      <c r="P102" s="23"/>
      <c r="Q102" s="23"/>
    </row>
    <row r="103" spans="1:17" x14ac:dyDescent="0.25">
      <c r="A103" s="876"/>
      <c r="B103" s="4"/>
      <c r="C103" s="23"/>
      <c r="D103" s="23"/>
      <c r="E103" s="23"/>
      <c r="F103" s="23"/>
      <c r="G103" s="23"/>
      <c r="H103" s="23"/>
      <c r="I103" s="23"/>
      <c r="J103" s="23"/>
      <c r="K103" s="23"/>
      <c r="L103" s="23"/>
      <c r="M103" s="23"/>
      <c r="N103" s="4"/>
      <c r="O103" s="23"/>
      <c r="P103" s="23"/>
      <c r="Q103" s="23"/>
    </row>
    <row r="104" spans="1:17" x14ac:dyDescent="0.25">
      <c r="A104" s="876"/>
      <c r="B104" s="4"/>
      <c r="C104" s="23"/>
      <c r="D104" s="23"/>
      <c r="E104" s="23"/>
      <c r="F104" s="23"/>
      <c r="G104" s="23"/>
      <c r="H104" s="23"/>
      <c r="I104" s="23"/>
      <c r="J104" s="23"/>
      <c r="K104" s="23"/>
      <c r="L104" s="23"/>
      <c r="M104" s="23"/>
      <c r="N104" s="4"/>
      <c r="O104" s="23"/>
      <c r="P104" s="23"/>
      <c r="Q104" s="23"/>
    </row>
    <row r="105" spans="1:17" x14ac:dyDescent="0.25">
      <c r="A105" s="876"/>
      <c r="B105" s="4"/>
      <c r="C105" s="23"/>
      <c r="D105" s="23"/>
      <c r="E105" s="23"/>
      <c r="F105" s="23"/>
      <c r="G105" s="23"/>
      <c r="H105" s="23"/>
      <c r="I105" s="23"/>
      <c r="J105" s="23"/>
      <c r="K105" s="23"/>
      <c r="L105" s="23"/>
      <c r="M105" s="23"/>
      <c r="N105" s="4"/>
      <c r="O105" s="23"/>
      <c r="P105" s="23"/>
      <c r="Q105" s="23"/>
    </row>
    <row r="106" spans="1:17" x14ac:dyDescent="0.25">
      <c r="A106" s="876"/>
      <c r="B106" s="4"/>
      <c r="C106" s="23"/>
      <c r="D106" s="23"/>
      <c r="E106" s="23"/>
      <c r="F106" s="23"/>
      <c r="G106" s="23"/>
      <c r="H106" s="23"/>
      <c r="I106" s="23"/>
      <c r="J106" s="23"/>
      <c r="K106" s="23"/>
      <c r="L106" s="23"/>
      <c r="M106" s="23"/>
      <c r="N106" s="4"/>
      <c r="O106" s="23"/>
      <c r="P106" s="23"/>
      <c r="Q106" s="23"/>
    </row>
    <row r="107" spans="1:17" x14ac:dyDescent="0.25">
      <c r="A107" s="876"/>
      <c r="B107" s="4"/>
      <c r="C107" s="23"/>
      <c r="D107" s="23"/>
      <c r="E107" s="23"/>
      <c r="F107" s="23"/>
      <c r="G107" s="23"/>
      <c r="H107" s="23"/>
      <c r="I107" s="23"/>
      <c r="J107" s="23"/>
      <c r="K107" s="23"/>
      <c r="L107" s="23"/>
      <c r="M107" s="23"/>
      <c r="N107" s="4"/>
      <c r="O107" s="23"/>
      <c r="P107" s="23"/>
      <c r="Q107" s="23"/>
    </row>
    <row r="108" spans="1:17" x14ac:dyDescent="0.25">
      <c r="A108" s="876"/>
      <c r="B108" s="4"/>
      <c r="C108" s="23"/>
      <c r="D108" s="23"/>
      <c r="E108" s="23"/>
      <c r="F108" s="23"/>
      <c r="G108" s="23"/>
      <c r="H108" s="23"/>
      <c r="I108" s="23"/>
      <c r="J108" s="23"/>
      <c r="K108" s="23"/>
      <c r="L108" s="23"/>
      <c r="M108" s="23"/>
      <c r="N108" s="4"/>
      <c r="O108" s="23"/>
      <c r="P108" s="23"/>
      <c r="Q108" s="23"/>
    </row>
    <row r="109" spans="1:17" x14ac:dyDescent="0.25">
      <c r="A109" s="876"/>
      <c r="B109" s="4"/>
      <c r="C109" s="23"/>
      <c r="D109" s="23"/>
      <c r="E109" s="23"/>
      <c r="F109" s="23"/>
      <c r="G109" s="23"/>
      <c r="H109" s="23"/>
      <c r="I109" s="23"/>
      <c r="J109" s="23"/>
      <c r="K109" s="23"/>
      <c r="L109" s="23"/>
      <c r="M109" s="23"/>
      <c r="N109" s="4"/>
      <c r="O109" s="23"/>
      <c r="P109" s="23"/>
      <c r="Q109" s="23"/>
    </row>
    <row r="110" spans="1:17" x14ac:dyDescent="0.25">
      <c r="A110" s="876"/>
      <c r="B110" s="4"/>
      <c r="C110" s="23"/>
      <c r="D110" s="23"/>
      <c r="E110" s="23"/>
      <c r="F110" s="23"/>
      <c r="G110" s="23"/>
      <c r="H110" s="23"/>
      <c r="I110" s="23"/>
      <c r="J110" s="23"/>
      <c r="K110" s="23"/>
      <c r="L110" s="23"/>
      <c r="M110" s="23"/>
      <c r="N110" s="4"/>
      <c r="O110" s="23"/>
      <c r="P110" s="23"/>
      <c r="Q110" s="23"/>
    </row>
    <row r="111" spans="1:17" x14ac:dyDescent="0.25">
      <c r="A111" s="876"/>
      <c r="B111" s="4"/>
      <c r="C111" s="23"/>
      <c r="D111" s="23"/>
      <c r="E111" s="23"/>
      <c r="F111" s="23"/>
      <c r="G111" s="23"/>
      <c r="H111" s="23"/>
      <c r="I111" s="23"/>
      <c r="J111" s="23"/>
      <c r="K111" s="23"/>
      <c r="L111" s="23"/>
      <c r="M111" s="23"/>
      <c r="N111" s="4"/>
      <c r="O111" s="23"/>
      <c r="P111" s="23"/>
      <c r="Q111" s="23"/>
    </row>
    <row r="112" spans="1:17" x14ac:dyDescent="0.25">
      <c r="A112" s="876"/>
      <c r="B112" s="4"/>
      <c r="C112" s="23"/>
      <c r="D112" s="23"/>
      <c r="E112" s="23"/>
      <c r="F112" s="23"/>
      <c r="G112" s="23"/>
      <c r="H112" s="23"/>
      <c r="I112" s="23"/>
      <c r="J112" s="23"/>
      <c r="K112" s="23"/>
      <c r="L112" s="23"/>
      <c r="M112" s="23"/>
      <c r="N112" s="4"/>
      <c r="O112" s="23"/>
      <c r="P112" s="23"/>
      <c r="Q112" s="23"/>
    </row>
    <row r="113" spans="1:17" x14ac:dyDescent="0.25">
      <c r="A113" s="876"/>
      <c r="B113" s="4"/>
      <c r="C113" s="23"/>
      <c r="D113" s="23"/>
      <c r="E113" s="23"/>
      <c r="F113" s="23"/>
      <c r="G113" s="23"/>
      <c r="H113" s="23"/>
      <c r="I113" s="23"/>
      <c r="J113" s="23"/>
      <c r="K113" s="23"/>
      <c r="L113" s="23"/>
      <c r="M113" s="23"/>
      <c r="N113" s="4"/>
      <c r="O113" s="23"/>
      <c r="P113" s="23"/>
      <c r="Q113" s="23"/>
    </row>
    <row r="114" spans="1:17" x14ac:dyDescent="0.25">
      <c r="A114" s="876"/>
      <c r="B114" s="4"/>
      <c r="C114" s="23"/>
      <c r="D114" s="23"/>
      <c r="E114" s="23"/>
      <c r="F114" s="23"/>
      <c r="G114" s="23"/>
      <c r="H114" s="23"/>
      <c r="I114" s="23"/>
      <c r="J114" s="23"/>
      <c r="K114" s="23"/>
      <c r="L114" s="23"/>
      <c r="M114" s="23"/>
      <c r="N114" s="4"/>
      <c r="O114" s="23"/>
      <c r="P114" s="23"/>
      <c r="Q114" s="23"/>
    </row>
    <row r="115" spans="1:17" x14ac:dyDescent="0.25">
      <c r="A115" s="876"/>
      <c r="B115" s="4"/>
      <c r="C115" s="23"/>
      <c r="D115" s="23"/>
      <c r="E115" s="23"/>
      <c r="F115" s="23"/>
      <c r="G115" s="23"/>
      <c r="H115" s="23"/>
      <c r="I115" s="23"/>
      <c r="J115" s="23"/>
      <c r="K115" s="23"/>
      <c r="L115" s="23"/>
      <c r="M115" s="23"/>
      <c r="N115" s="4"/>
      <c r="O115" s="23"/>
      <c r="P115" s="23"/>
      <c r="Q115" s="23"/>
    </row>
    <row r="116" spans="1:17" x14ac:dyDescent="0.25">
      <c r="A116" s="876"/>
      <c r="B116" s="4"/>
      <c r="C116" s="23"/>
      <c r="D116" s="23"/>
      <c r="E116" s="23"/>
      <c r="F116" s="23"/>
      <c r="G116" s="23"/>
      <c r="H116" s="23"/>
      <c r="I116" s="23"/>
      <c r="J116" s="23"/>
      <c r="K116" s="23"/>
      <c r="L116" s="23"/>
      <c r="M116" s="23"/>
      <c r="N116" s="4"/>
      <c r="O116" s="23"/>
      <c r="P116" s="23"/>
      <c r="Q116" s="23"/>
    </row>
    <row r="117" spans="1:17" x14ac:dyDescent="0.25">
      <c r="A117" s="876"/>
      <c r="B117" s="4"/>
      <c r="C117" s="23"/>
      <c r="D117" s="23"/>
      <c r="E117" s="23"/>
      <c r="F117" s="23"/>
      <c r="G117" s="23"/>
      <c r="H117" s="23"/>
      <c r="I117" s="23"/>
      <c r="J117" s="23"/>
      <c r="K117" s="23"/>
      <c r="L117" s="23"/>
      <c r="M117" s="23"/>
      <c r="N117" s="4"/>
      <c r="O117" s="23"/>
      <c r="P117" s="23"/>
      <c r="Q117" s="23"/>
    </row>
    <row r="118" spans="1:17" x14ac:dyDescent="0.25">
      <c r="A118" s="876"/>
      <c r="B118" s="4"/>
      <c r="C118" s="23"/>
      <c r="D118" s="23"/>
      <c r="E118" s="23"/>
      <c r="F118" s="23"/>
      <c r="G118" s="23"/>
      <c r="H118" s="23"/>
      <c r="I118" s="23"/>
      <c r="J118" s="23"/>
      <c r="K118" s="23"/>
      <c r="L118" s="23"/>
      <c r="M118" s="23"/>
      <c r="N118" s="4"/>
      <c r="O118" s="23"/>
      <c r="P118" s="23"/>
      <c r="Q118" s="23"/>
    </row>
    <row r="119" spans="1:17" x14ac:dyDescent="0.25">
      <c r="A119" s="876"/>
      <c r="B119" s="4"/>
      <c r="C119" s="23"/>
      <c r="D119" s="23"/>
      <c r="E119" s="23"/>
      <c r="F119" s="23"/>
      <c r="G119" s="23"/>
      <c r="H119" s="23"/>
      <c r="I119" s="23"/>
      <c r="J119" s="23"/>
      <c r="K119" s="23"/>
      <c r="L119" s="23"/>
      <c r="M119" s="23"/>
      <c r="N119" s="4"/>
      <c r="O119" s="23"/>
      <c r="P119" s="23"/>
      <c r="Q119" s="23"/>
    </row>
    <row r="120" spans="1:17" x14ac:dyDescent="0.25">
      <c r="A120" s="876"/>
      <c r="B120" s="4"/>
      <c r="C120" s="23"/>
      <c r="D120" s="23"/>
      <c r="E120" s="23"/>
      <c r="F120" s="23"/>
      <c r="G120" s="23"/>
      <c r="H120" s="23"/>
      <c r="I120" s="23"/>
      <c r="J120" s="23"/>
      <c r="K120" s="23"/>
      <c r="L120" s="23"/>
      <c r="M120" s="23"/>
      <c r="N120" s="4"/>
      <c r="O120" s="23"/>
      <c r="P120" s="23"/>
      <c r="Q120" s="23"/>
    </row>
    <row r="121" spans="1:17" x14ac:dyDescent="0.25">
      <c r="A121" s="876"/>
      <c r="B121" s="4"/>
      <c r="C121" s="23"/>
      <c r="D121" s="23"/>
      <c r="E121" s="23"/>
      <c r="F121" s="23"/>
      <c r="G121" s="23"/>
      <c r="H121" s="23"/>
      <c r="I121" s="23"/>
      <c r="J121" s="23"/>
      <c r="K121" s="23"/>
      <c r="L121" s="23"/>
      <c r="M121" s="23"/>
      <c r="N121" s="4"/>
      <c r="O121" s="23"/>
      <c r="P121" s="23"/>
      <c r="Q121" s="23"/>
    </row>
    <row r="122" spans="1:17" x14ac:dyDescent="0.25">
      <c r="A122" s="876"/>
      <c r="B122" s="4"/>
      <c r="C122" s="23"/>
      <c r="D122" s="23"/>
      <c r="E122" s="23"/>
      <c r="F122" s="23"/>
      <c r="G122" s="23"/>
      <c r="H122" s="23"/>
      <c r="I122" s="23"/>
      <c r="J122" s="23"/>
      <c r="K122" s="23"/>
      <c r="L122" s="23"/>
      <c r="M122" s="23"/>
      <c r="N122" s="4"/>
      <c r="O122" s="23"/>
      <c r="P122" s="23"/>
      <c r="Q122" s="23"/>
    </row>
    <row r="123" spans="1:17" x14ac:dyDescent="0.25">
      <c r="A123" s="876"/>
      <c r="B123" s="4"/>
      <c r="C123" s="23"/>
      <c r="D123" s="23"/>
      <c r="E123" s="23"/>
      <c r="F123" s="23"/>
      <c r="G123" s="23"/>
      <c r="H123" s="23"/>
      <c r="I123" s="23"/>
      <c r="J123" s="23"/>
      <c r="K123" s="23"/>
      <c r="L123" s="23"/>
      <c r="M123" s="23"/>
      <c r="N123" s="4"/>
      <c r="O123" s="23"/>
      <c r="P123" s="23"/>
      <c r="Q123" s="23"/>
    </row>
    <row r="124" spans="1:17" x14ac:dyDescent="0.25">
      <c r="A124" s="876"/>
      <c r="B124" s="4"/>
      <c r="C124" s="23"/>
      <c r="D124" s="23"/>
      <c r="E124" s="23"/>
      <c r="F124" s="23"/>
      <c r="G124" s="23"/>
      <c r="H124" s="23"/>
      <c r="I124" s="23"/>
      <c r="J124" s="23"/>
      <c r="K124" s="23"/>
      <c r="L124" s="23"/>
      <c r="M124" s="23"/>
      <c r="N124" s="4"/>
      <c r="O124" s="23"/>
      <c r="P124" s="23"/>
      <c r="Q124" s="23"/>
    </row>
    <row r="125" spans="1:17" x14ac:dyDescent="0.25">
      <c r="A125" s="876"/>
      <c r="B125" s="4"/>
      <c r="C125" s="23"/>
      <c r="D125" s="23"/>
      <c r="E125" s="23"/>
      <c r="F125" s="23"/>
      <c r="G125" s="23"/>
      <c r="H125" s="23"/>
      <c r="I125" s="23"/>
      <c r="J125" s="23"/>
      <c r="K125" s="23"/>
      <c r="L125" s="23"/>
      <c r="M125" s="23"/>
      <c r="N125" s="4"/>
      <c r="O125" s="23"/>
      <c r="P125" s="23"/>
      <c r="Q125" s="23"/>
    </row>
    <row r="126" spans="1:17" x14ac:dyDescent="0.25">
      <c r="A126" s="876"/>
      <c r="B126" s="4"/>
      <c r="C126" s="23"/>
      <c r="D126" s="23"/>
      <c r="E126" s="23"/>
      <c r="F126" s="23"/>
      <c r="G126" s="23"/>
      <c r="H126" s="23"/>
      <c r="I126" s="23"/>
      <c r="J126" s="23"/>
      <c r="K126" s="23"/>
      <c r="L126" s="23"/>
      <c r="M126" s="23"/>
      <c r="N126" s="4"/>
      <c r="O126" s="23"/>
      <c r="P126" s="23"/>
      <c r="Q126" s="23"/>
    </row>
    <row r="127" spans="1:17" x14ac:dyDescent="0.25">
      <c r="A127" s="876"/>
      <c r="B127" s="4"/>
      <c r="C127" s="23"/>
      <c r="D127" s="23"/>
      <c r="E127" s="23"/>
      <c r="F127" s="23"/>
      <c r="G127" s="23"/>
      <c r="H127" s="23"/>
      <c r="I127" s="23"/>
      <c r="J127" s="23"/>
      <c r="K127" s="23"/>
      <c r="L127" s="23"/>
      <c r="M127" s="23"/>
      <c r="N127" s="4"/>
      <c r="O127" s="23"/>
      <c r="P127" s="23"/>
      <c r="Q127" s="23"/>
    </row>
    <row r="128" spans="1:17" x14ac:dyDescent="0.25">
      <c r="A128" s="876"/>
      <c r="B128" s="4"/>
      <c r="C128" s="23"/>
      <c r="D128" s="23"/>
      <c r="E128" s="23"/>
      <c r="F128" s="23"/>
      <c r="G128" s="23"/>
      <c r="H128" s="23"/>
      <c r="I128" s="23"/>
      <c r="J128" s="23"/>
      <c r="K128" s="23"/>
      <c r="L128" s="23"/>
      <c r="M128" s="23"/>
      <c r="N128" s="4"/>
      <c r="O128" s="23"/>
      <c r="P128" s="23"/>
      <c r="Q128" s="23"/>
    </row>
    <row r="129" spans="3:3" x14ac:dyDescent="0.25">
      <c r="C129" s="114"/>
    </row>
    <row r="130" spans="3:3" x14ac:dyDescent="0.25">
      <c r="C130" s="114"/>
    </row>
    <row r="131" spans="3:3" x14ac:dyDescent="0.25">
      <c r="C131" s="114"/>
    </row>
    <row r="132" spans="3:3" x14ac:dyDescent="0.25">
      <c r="C132" s="114"/>
    </row>
    <row r="133" spans="3:3" x14ac:dyDescent="0.25">
      <c r="C133" s="114"/>
    </row>
    <row r="134" spans="3:3" x14ac:dyDescent="0.25">
      <c r="C134" s="114"/>
    </row>
    <row r="135" spans="3:3" x14ac:dyDescent="0.25">
      <c r="C135" s="114"/>
    </row>
    <row r="136" spans="3:3" x14ac:dyDescent="0.25">
      <c r="C136" s="114"/>
    </row>
    <row r="137" spans="3:3" x14ac:dyDescent="0.25">
      <c r="C137" s="114"/>
    </row>
    <row r="138" spans="3:3" x14ac:dyDescent="0.25">
      <c r="C138" s="114"/>
    </row>
    <row r="139" spans="3:3" x14ac:dyDescent="0.25">
      <c r="C139" s="114"/>
    </row>
    <row r="140" spans="3:3" x14ac:dyDescent="0.25">
      <c r="C140" s="114"/>
    </row>
    <row r="141" spans="3:3" x14ac:dyDescent="0.25">
      <c r="C141" s="114"/>
    </row>
    <row r="142" spans="3:3" x14ac:dyDescent="0.25">
      <c r="C142" s="114"/>
    </row>
    <row r="143" spans="3:3" x14ac:dyDescent="0.25">
      <c r="C143" s="114"/>
    </row>
    <row r="144" spans="3:3" x14ac:dyDescent="0.25">
      <c r="C144" s="114"/>
    </row>
    <row r="145" spans="3:3" x14ac:dyDescent="0.25">
      <c r="C145" s="114"/>
    </row>
    <row r="146" spans="3:3" x14ac:dyDescent="0.25">
      <c r="C146" s="114"/>
    </row>
    <row r="147" spans="3:3" x14ac:dyDescent="0.25">
      <c r="C147" s="114"/>
    </row>
    <row r="148" spans="3:3" x14ac:dyDescent="0.25">
      <c r="C148" s="114"/>
    </row>
    <row r="149" spans="3:3" x14ac:dyDescent="0.25">
      <c r="C149" s="114"/>
    </row>
    <row r="150" spans="3:3" x14ac:dyDescent="0.25">
      <c r="C150" s="114"/>
    </row>
    <row r="151" spans="3:3" x14ac:dyDescent="0.25">
      <c r="C151" s="114"/>
    </row>
    <row r="152" spans="3:3" x14ac:dyDescent="0.25">
      <c r="C152" s="114"/>
    </row>
    <row r="153" spans="3:3" x14ac:dyDescent="0.25">
      <c r="C153" s="114"/>
    </row>
    <row r="154" spans="3:3" x14ac:dyDescent="0.25">
      <c r="C154" s="114"/>
    </row>
    <row r="155" spans="3:3" x14ac:dyDescent="0.25">
      <c r="C155" s="114"/>
    </row>
    <row r="156" spans="3:3" x14ac:dyDescent="0.25">
      <c r="C156" s="114"/>
    </row>
    <row r="157" spans="3:3" x14ac:dyDescent="0.25">
      <c r="C157" s="114"/>
    </row>
    <row r="158" spans="3:3" x14ac:dyDescent="0.25">
      <c r="C158" s="114"/>
    </row>
    <row r="159" spans="3:3" x14ac:dyDescent="0.25">
      <c r="C159" s="114"/>
    </row>
    <row r="160" spans="3:3" x14ac:dyDescent="0.25">
      <c r="C160" s="114"/>
    </row>
    <row r="161" spans="3:3" x14ac:dyDescent="0.25">
      <c r="C161" s="114"/>
    </row>
    <row r="162" spans="3:3" x14ac:dyDescent="0.25">
      <c r="C162" s="114"/>
    </row>
    <row r="163" spans="3:3" x14ac:dyDescent="0.25">
      <c r="C163" s="114"/>
    </row>
    <row r="164" spans="3:3" x14ac:dyDescent="0.25">
      <c r="C164" s="114"/>
    </row>
    <row r="165" spans="3:3" x14ac:dyDescent="0.25">
      <c r="C165" s="114"/>
    </row>
    <row r="166" spans="3:3" x14ac:dyDescent="0.25">
      <c r="C166" s="114"/>
    </row>
    <row r="167" spans="3:3" x14ac:dyDescent="0.25">
      <c r="C167" s="114"/>
    </row>
    <row r="168" spans="3:3" x14ac:dyDescent="0.25">
      <c r="C168" s="114"/>
    </row>
    <row r="169" spans="3:3" x14ac:dyDescent="0.25">
      <c r="C169" s="114"/>
    </row>
    <row r="170" spans="3:3" x14ac:dyDescent="0.25">
      <c r="C170" s="114"/>
    </row>
    <row r="171" spans="3:3" x14ac:dyDescent="0.25">
      <c r="C171" s="114"/>
    </row>
    <row r="172" spans="3:3" x14ac:dyDescent="0.25">
      <c r="C172" s="114"/>
    </row>
    <row r="173" spans="3:3" x14ac:dyDescent="0.25">
      <c r="C173" s="114"/>
    </row>
    <row r="174" spans="3:3" x14ac:dyDescent="0.25">
      <c r="C174" s="114"/>
    </row>
    <row r="175" spans="3:3" x14ac:dyDescent="0.25">
      <c r="C175" s="114"/>
    </row>
    <row r="176" spans="3:3" x14ac:dyDescent="0.25">
      <c r="C176" s="114"/>
    </row>
    <row r="177" spans="3:3" x14ac:dyDescent="0.25">
      <c r="C177" s="114"/>
    </row>
    <row r="178" spans="3:3" x14ac:dyDescent="0.25">
      <c r="C178" s="114"/>
    </row>
  </sheetData>
  <phoneticPr fontId="0" type="noConversion"/>
  <hyperlinks>
    <hyperlink ref="A1" location="'Working Budget with funding det'!A1" display="Main " xr:uid="{00000000-0004-0000-2700-000000000000}"/>
    <hyperlink ref="B1" location="'Table of Contents'!A1" display="TOC" xr:uid="{00000000-0004-0000-2700-000001000000}"/>
  </hyperlinks>
  <pageMargins left="0.75" right="0.75" top="1" bottom="1" header="0.5" footer="0.5"/>
  <pageSetup fitToHeight="0" orientation="landscape" r:id="rId1"/>
  <headerFooter alignWithMargins="0">
    <oddFooter>&amp;L&amp;D     &amp;T&amp;C&amp;F&amp;R&amp;A</oddFooter>
  </headerFooter>
  <rowBreaks count="1" manualBreakCount="1">
    <brk id="31" max="16"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92D050"/>
    <pageSetUpPr fitToPage="1"/>
  </sheetPr>
  <dimension ref="A1:P26"/>
  <sheetViews>
    <sheetView workbookViewId="0">
      <selection activeCell="P1" sqref="P1:P1048576"/>
    </sheetView>
  </sheetViews>
  <sheetFormatPr defaultRowHeight="13.2" x14ac:dyDescent="0.25"/>
  <cols>
    <col min="1" max="1" width="9.44140625" style="885" bestFit="1" customWidth="1"/>
    <col min="2" max="2" width="36.6640625" customWidth="1"/>
    <col min="3" max="6" width="11.109375" hidden="1" customWidth="1"/>
    <col min="7" max="7" width="9" hidden="1" customWidth="1"/>
    <col min="8" max="10" width="14.6640625" hidden="1" customWidth="1"/>
    <col min="11" max="16" width="14.6640625" customWidth="1"/>
  </cols>
  <sheetData>
    <row r="1" spans="1:16" x14ac:dyDescent="0.25">
      <c r="A1" s="874" t="s">
        <v>1021</v>
      </c>
      <c r="B1" s="371" t="s">
        <v>1348</v>
      </c>
      <c r="C1" s="1"/>
      <c r="D1" s="114"/>
      <c r="E1" s="114"/>
      <c r="F1" s="114"/>
      <c r="G1" s="114"/>
      <c r="H1" s="114"/>
      <c r="I1" s="114"/>
      <c r="J1" s="114"/>
      <c r="K1" s="114"/>
      <c r="L1" s="114"/>
      <c r="M1" s="114"/>
      <c r="O1" s="1"/>
    </row>
    <row r="2" spans="1:16" ht="13.8" x14ac:dyDescent="0.25">
      <c r="A2" s="875" t="s">
        <v>262</v>
      </c>
      <c r="B2" s="45"/>
      <c r="C2" s="1"/>
      <c r="D2" s="114"/>
      <c r="E2" s="141"/>
      <c r="F2" s="114"/>
      <c r="G2" s="114"/>
      <c r="I2" s="141" t="s">
        <v>257</v>
      </c>
      <c r="J2" s="141"/>
      <c r="K2" s="141"/>
      <c r="L2" s="141"/>
      <c r="M2" s="141"/>
      <c r="N2" s="61" t="s">
        <v>1352</v>
      </c>
      <c r="O2" s="1"/>
      <c r="P2" s="46" t="s">
        <v>1351</v>
      </c>
    </row>
    <row r="3" spans="1:16" ht="13.8" thickBot="1" x14ac:dyDescent="0.3">
      <c r="A3" s="876"/>
      <c r="B3" s="4"/>
      <c r="C3" s="23"/>
      <c r="D3" s="23"/>
      <c r="E3" s="23"/>
      <c r="F3" s="23"/>
      <c r="G3" s="23"/>
      <c r="H3" s="23"/>
      <c r="I3" s="23"/>
      <c r="J3" s="23"/>
      <c r="K3" s="23"/>
      <c r="L3" s="23"/>
      <c r="M3" s="23"/>
      <c r="N3" s="4"/>
      <c r="O3" s="23"/>
      <c r="P3" s="4"/>
    </row>
    <row r="4" spans="1:16" ht="13.8" thickTop="1" x14ac:dyDescent="0.25">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t="s">
        <v>910</v>
      </c>
    </row>
    <row r="5" spans="1:16" x14ac:dyDescent="0.25">
      <c r="A5" s="878"/>
      <c r="B5" s="209"/>
      <c r="C5" s="127"/>
      <c r="D5" s="87"/>
      <c r="E5" s="113"/>
      <c r="F5" s="87"/>
      <c r="G5" s="87"/>
      <c r="H5" s="113"/>
      <c r="I5" s="290"/>
      <c r="J5" s="290"/>
      <c r="K5" s="290"/>
      <c r="L5" s="290"/>
      <c r="M5" s="290"/>
      <c r="N5" s="113" t="s">
        <v>515</v>
      </c>
      <c r="O5" s="88" t="s">
        <v>7</v>
      </c>
      <c r="P5" s="203" t="s">
        <v>782</v>
      </c>
    </row>
    <row r="6" spans="1:16" x14ac:dyDescent="0.25">
      <c r="A6" s="878"/>
      <c r="B6" s="209"/>
      <c r="C6" s="127"/>
      <c r="D6" s="127"/>
      <c r="E6" s="127"/>
      <c r="F6" s="87"/>
      <c r="G6" s="127"/>
      <c r="H6" s="127"/>
      <c r="I6" s="88"/>
      <c r="J6" s="88"/>
      <c r="K6" s="88"/>
      <c r="L6" s="88"/>
      <c r="M6" s="88"/>
      <c r="N6" s="127"/>
      <c r="O6" s="88" t="s">
        <v>8</v>
      </c>
      <c r="P6" s="47" t="s">
        <v>543</v>
      </c>
    </row>
    <row r="7" spans="1:16"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44561</v>
      </c>
      <c r="O7" s="9" t="s">
        <v>9</v>
      </c>
      <c r="P7" s="9" t="s">
        <v>546</v>
      </c>
    </row>
    <row r="8" spans="1:16" ht="13.8" thickTop="1" x14ac:dyDescent="0.25">
      <c r="A8" s="908"/>
      <c r="B8" s="210"/>
      <c r="C8" s="132"/>
      <c r="D8" s="18"/>
      <c r="E8" s="18"/>
      <c r="F8" s="18"/>
      <c r="G8" s="18"/>
      <c r="H8" s="18"/>
      <c r="I8" s="19"/>
      <c r="J8" s="19"/>
      <c r="K8" s="19"/>
      <c r="L8" s="19"/>
      <c r="M8" s="19"/>
      <c r="N8" s="18"/>
      <c r="O8" s="19"/>
      <c r="P8" s="19"/>
    </row>
    <row r="9" spans="1:16" ht="13.8" thickBot="1" x14ac:dyDescent="0.3">
      <c r="A9" s="881">
        <v>5211</v>
      </c>
      <c r="B9" s="63" t="s">
        <v>192</v>
      </c>
      <c r="C9" s="131"/>
      <c r="D9" s="15"/>
      <c r="E9" s="13"/>
      <c r="F9" s="13"/>
      <c r="G9" s="13"/>
      <c r="H9" s="13"/>
      <c r="I9" s="13"/>
      <c r="J9" s="13">
        <v>878.32</v>
      </c>
      <c r="K9" s="14">
        <v>7000</v>
      </c>
      <c r="L9" s="13">
        <v>3227.64</v>
      </c>
      <c r="M9" s="14">
        <v>6000</v>
      </c>
      <c r="N9" s="13">
        <v>1690.46</v>
      </c>
      <c r="O9" s="14">
        <v>6000</v>
      </c>
      <c r="P9" s="14"/>
    </row>
    <row r="10" spans="1:16" x14ac:dyDescent="0.25">
      <c r="A10" s="881">
        <v>5247</v>
      </c>
      <c r="B10" s="63" t="s">
        <v>1355</v>
      </c>
      <c r="C10" s="250"/>
      <c r="D10" s="37"/>
      <c r="E10" s="13"/>
      <c r="F10" s="13"/>
      <c r="G10" s="13"/>
      <c r="H10" s="13"/>
      <c r="I10" s="13"/>
      <c r="J10" s="13">
        <v>2820</v>
      </c>
      <c r="K10" s="14"/>
      <c r="L10" s="13"/>
      <c r="M10" s="14"/>
      <c r="N10" s="13"/>
      <c r="O10" s="14"/>
      <c r="P10" s="14"/>
    </row>
    <row r="11" spans="1:16" x14ac:dyDescent="0.25">
      <c r="A11" s="881">
        <v>5740</v>
      </c>
      <c r="B11" s="63" t="s">
        <v>1354</v>
      </c>
      <c r="C11" s="13"/>
      <c r="D11" s="13"/>
      <c r="E11" s="13"/>
      <c r="F11" s="13"/>
      <c r="G11" s="13"/>
      <c r="H11" s="13"/>
      <c r="I11" s="13"/>
      <c r="J11" s="13">
        <v>4241.5</v>
      </c>
      <c r="K11" s="14"/>
      <c r="L11" s="13"/>
      <c r="M11" s="14"/>
      <c r="N11" s="13"/>
      <c r="O11" s="14"/>
      <c r="P11" s="14"/>
    </row>
    <row r="12" spans="1:16" ht="13.8" thickBot="1" x14ac:dyDescent="0.3">
      <c r="A12" s="881"/>
      <c r="B12" s="63"/>
      <c r="C12" s="15"/>
      <c r="D12" s="15"/>
      <c r="E12" s="15"/>
      <c r="F12" s="15"/>
      <c r="G12" s="15"/>
      <c r="H12" s="15"/>
      <c r="I12" s="15"/>
      <c r="J12" s="15"/>
      <c r="K12" s="16"/>
      <c r="L12" s="15"/>
      <c r="M12" s="16"/>
      <c r="N12" s="15"/>
      <c r="O12" s="16"/>
      <c r="P12" s="16"/>
    </row>
    <row r="13" spans="1:16" x14ac:dyDescent="0.25">
      <c r="A13" s="881"/>
      <c r="B13" s="64" t="s">
        <v>449</v>
      </c>
      <c r="C13" s="132">
        <f t="shared" ref="C13:N13" si="0">SUM(C9:C9)</f>
        <v>0</v>
      </c>
      <c r="D13" s="18">
        <f t="shared" si="0"/>
        <v>0</v>
      </c>
      <c r="E13" s="18">
        <f t="shared" si="0"/>
        <v>0</v>
      </c>
      <c r="F13" s="18">
        <f>+F9</f>
        <v>0</v>
      </c>
      <c r="G13" s="18">
        <f>+G9</f>
        <v>0</v>
      </c>
      <c r="H13" s="18">
        <f>+H9</f>
        <v>0</v>
      </c>
      <c r="I13" s="18">
        <f>SUM(I9:I11)</f>
        <v>0</v>
      </c>
      <c r="J13" s="18">
        <f>SUM(J9:J11)</f>
        <v>7939.82</v>
      </c>
      <c r="K13" s="19">
        <f>SUM(K9:K12)</f>
        <v>7000</v>
      </c>
      <c r="L13" s="18">
        <f t="shared" ref="L13:M13" si="1">SUM(L9:L12)</f>
        <v>3227.64</v>
      </c>
      <c r="M13" s="19">
        <f t="shared" si="1"/>
        <v>6000</v>
      </c>
      <c r="N13" s="18">
        <f t="shared" si="0"/>
        <v>1690.46</v>
      </c>
      <c r="O13" s="19">
        <f>SUM(O9:O12)</f>
        <v>6000</v>
      </c>
      <c r="P13" s="19">
        <f>+O13</f>
        <v>6000</v>
      </c>
    </row>
    <row r="14" spans="1:16" x14ac:dyDescent="0.25">
      <c r="A14" s="881"/>
      <c r="B14" s="63"/>
      <c r="C14" s="130"/>
      <c r="D14" s="13"/>
      <c r="E14" s="13"/>
      <c r="F14" s="13"/>
      <c r="G14" s="13"/>
      <c r="H14" s="13"/>
      <c r="I14" s="13"/>
      <c r="J14" s="13"/>
      <c r="K14" s="14"/>
      <c r="L14" s="13"/>
      <c r="M14" s="14"/>
      <c r="N14" s="13"/>
      <c r="O14" s="14"/>
      <c r="P14" s="14"/>
    </row>
    <row r="15" spans="1:16" ht="13.8" thickBot="1" x14ac:dyDescent="0.3">
      <c r="A15" s="882"/>
      <c r="B15" s="723" t="s">
        <v>1353</v>
      </c>
      <c r="C15" s="714" t="e">
        <f>+#REF!+C13</f>
        <v>#REF!</v>
      </c>
      <c r="D15" s="21" t="e">
        <f>+#REF!+D13</f>
        <v>#REF!</v>
      </c>
      <c r="E15" s="21" t="e">
        <f>+#REF!+E13</f>
        <v>#REF!</v>
      </c>
      <c r="F15" s="21" t="e">
        <f>+#REF!+F13</f>
        <v>#REF!</v>
      </c>
      <c r="G15" s="21" t="e">
        <f>+#REF!+G13</f>
        <v>#REF!</v>
      </c>
      <c r="H15" s="21">
        <f>+H13</f>
        <v>0</v>
      </c>
      <c r="I15" s="21">
        <f t="shared" ref="I15:P15" si="2">+I13</f>
        <v>0</v>
      </c>
      <c r="J15" s="21">
        <f t="shared" ref="J15" si="3">+J13</f>
        <v>7939.82</v>
      </c>
      <c r="K15" s="665">
        <f t="shared" si="2"/>
        <v>7000</v>
      </c>
      <c r="L15" s="21">
        <f t="shared" ref="L15:M15" si="4">+L13</f>
        <v>3227.64</v>
      </c>
      <c r="M15" s="665">
        <f t="shared" si="4"/>
        <v>6000</v>
      </c>
      <c r="N15" s="21">
        <f t="shared" si="2"/>
        <v>1690.46</v>
      </c>
      <c r="O15" s="665">
        <f t="shared" si="2"/>
        <v>6000</v>
      </c>
      <c r="P15" s="665">
        <f t="shared" si="2"/>
        <v>6000</v>
      </c>
    </row>
    <row r="16" spans="1:16" ht="13.8" thickTop="1" x14ac:dyDescent="0.25">
      <c r="A16" s="876"/>
      <c r="B16" s="724"/>
      <c r="C16" s="24"/>
      <c r="D16" s="24"/>
      <c r="E16" s="24"/>
      <c r="F16" s="24"/>
      <c r="G16" s="24"/>
      <c r="H16" s="24"/>
      <c r="I16" s="24"/>
      <c r="J16" s="24"/>
      <c r="K16" s="24"/>
      <c r="L16" s="24"/>
      <c r="M16" s="24"/>
      <c r="N16" s="25"/>
      <c r="O16" s="24"/>
      <c r="P16" s="23"/>
    </row>
    <row r="17" spans="1:16" ht="13.8" thickBot="1" x14ac:dyDescent="0.3">
      <c r="A17" s="876"/>
      <c r="B17" s="4"/>
      <c r="C17" s="23"/>
      <c r="D17" s="23"/>
      <c r="E17" s="23"/>
      <c r="F17" s="23"/>
      <c r="G17" s="23"/>
      <c r="H17" s="23"/>
      <c r="I17" s="23"/>
      <c r="J17" s="23"/>
      <c r="K17" s="23"/>
      <c r="L17" s="23"/>
      <c r="M17" s="23"/>
      <c r="N17" s="27"/>
      <c r="O17" s="23"/>
      <c r="P17" s="27"/>
    </row>
    <row r="18" spans="1:16" ht="13.8" thickTop="1" x14ac:dyDescent="0.25">
      <c r="A18" s="893"/>
      <c r="B18" s="452"/>
      <c r="C18" s="453" t="s">
        <v>127</v>
      </c>
      <c r="D18" s="454" t="s">
        <v>127</v>
      </c>
      <c r="E18" s="454" t="s">
        <v>127</v>
      </c>
      <c r="F18" s="114"/>
      <c r="G18" s="114"/>
      <c r="K18" s="455" t="s">
        <v>547</v>
      </c>
      <c r="L18" s="456" t="s">
        <v>9</v>
      </c>
      <c r="M18" s="457" t="s">
        <v>1073</v>
      </c>
      <c r="N18" s="456" t="s">
        <v>686</v>
      </c>
      <c r="O18" s="458"/>
      <c r="P18" s="457"/>
    </row>
    <row r="19" spans="1:16" ht="13.8" thickBot="1" x14ac:dyDescent="0.3">
      <c r="A19" s="894" t="s">
        <v>128</v>
      </c>
      <c r="B19" s="459"/>
      <c r="C19" s="460" t="s">
        <v>347</v>
      </c>
      <c r="D19" s="460" t="s">
        <v>722</v>
      </c>
      <c r="E19" s="461" t="s">
        <v>737</v>
      </c>
      <c r="F19" s="114"/>
      <c r="G19" s="114"/>
      <c r="K19" s="462" t="s">
        <v>909</v>
      </c>
      <c r="L19" s="462" t="s">
        <v>910</v>
      </c>
      <c r="M19" s="461" t="s">
        <v>1075</v>
      </c>
      <c r="N19" s="463" t="s">
        <v>1075</v>
      </c>
      <c r="O19" s="464" t="s">
        <v>1074</v>
      </c>
      <c r="P19" s="462"/>
    </row>
    <row r="20" spans="1:16" ht="13.8" thickTop="1" x14ac:dyDescent="0.25">
      <c r="A20" s="910"/>
      <c r="B20" s="480"/>
      <c r="C20" s="468"/>
      <c r="D20" s="468"/>
      <c r="E20" s="468"/>
      <c r="F20" s="114"/>
      <c r="G20" s="114"/>
      <c r="K20" s="469"/>
      <c r="L20" s="468"/>
      <c r="M20" s="500"/>
      <c r="N20" s="477"/>
      <c r="O20" s="470"/>
      <c r="P20" s="471"/>
    </row>
    <row r="21" spans="1:16" ht="13.8" thickBot="1" x14ac:dyDescent="0.3">
      <c r="A21" s="907">
        <v>5211</v>
      </c>
      <c r="B21" s="501" t="s">
        <v>192</v>
      </c>
      <c r="C21" s="474"/>
      <c r="D21" s="474"/>
      <c r="E21" s="476"/>
      <c r="F21" s="114"/>
      <c r="G21" s="114"/>
      <c r="K21" s="475">
        <f>+M9</f>
        <v>6000</v>
      </c>
      <c r="L21" s="497">
        <f>+O9</f>
        <v>6000</v>
      </c>
      <c r="M21" s="500">
        <f>+L21-K21</f>
        <v>0</v>
      </c>
      <c r="N21" s="477" t="str">
        <f>IF(K21+L21&lt;&gt;0,IF(K21&lt;&gt;0,IF(M21&lt;&gt;0,ROUND((+M21/K21),4),""),1),"")</f>
        <v/>
      </c>
      <c r="O21" s="470"/>
      <c r="P21" s="471"/>
    </row>
    <row r="22" spans="1:16" x14ac:dyDescent="0.25">
      <c r="A22" s="907">
        <v>5247</v>
      </c>
      <c r="B22" s="501" t="s">
        <v>1355</v>
      </c>
      <c r="C22" s="481"/>
      <c r="D22" s="481"/>
      <c r="E22" s="476"/>
      <c r="F22" s="114"/>
      <c r="G22" s="114"/>
      <c r="K22" s="475">
        <f>+M10</f>
        <v>0</v>
      </c>
      <c r="L22" s="497">
        <f>+O10</f>
        <v>0</v>
      </c>
      <c r="M22" s="500">
        <f>+L22-K22</f>
        <v>0</v>
      </c>
      <c r="N22" s="477" t="str">
        <f>IF(K22+L22&lt;&gt;0,IF(K22&lt;&gt;0,IF(M22&lt;&gt;0,ROUND((+M22/K22),4),""),1),"")</f>
        <v/>
      </c>
      <c r="O22" s="470"/>
      <c r="P22" s="471"/>
    </row>
    <row r="23" spans="1:16" x14ac:dyDescent="0.25">
      <c r="A23" s="907">
        <v>5740</v>
      </c>
      <c r="B23" s="501" t="s">
        <v>1354</v>
      </c>
      <c r="C23" s="481"/>
      <c r="D23" s="481"/>
      <c r="E23" s="476"/>
      <c r="F23" s="114"/>
      <c r="G23" s="114"/>
      <c r="K23" s="475">
        <f>+M11</f>
        <v>0</v>
      </c>
      <c r="L23" s="497">
        <f>+O11</f>
        <v>0</v>
      </c>
      <c r="M23" s="500">
        <f>+L23-K23</f>
        <v>0</v>
      </c>
      <c r="N23" s="477" t="str">
        <f>IF(K23+L23&lt;&gt;0,IF(K23&lt;&gt;0,IF(M23&lt;&gt;0,ROUND((+M23/K23),4),""),1),"")</f>
        <v/>
      </c>
      <c r="O23" s="470"/>
      <c r="P23" s="471"/>
    </row>
    <row r="24" spans="1:16" x14ac:dyDescent="0.25">
      <c r="A24" s="907"/>
      <c r="B24" s="501"/>
      <c r="C24" s="503"/>
      <c r="D24" s="503"/>
      <c r="E24" s="503"/>
      <c r="F24" s="114"/>
      <c r="G24" s="114"/>
      <c r="K24" s="475">
        <f>+M12</f>
        <v>0</v>
      </c>
      <c r="L24" s="497">
        <f>+O12</f>
        <v>0</v>
      </c>
      <c r="M24" s="500">
        <f>+L24-K24</f>
        <v>0</v>
      </c>
      <c r="N24" s="477" t="str">
        <f>IF(K24+L24&lt;&gt;0,IF(K24&lt;&gt;0,IF(M24&lt;&gt;0,ROUND((+M24/K24),4),""),1),"")</f>
        <v/>
      </c>
      <c r="O24" s="470"/>
      <c r="P24" s="471"/>
    </row>
    <row r="26" spans="1:16" x14ac:dyDescent="0.25">
      <c r="B26" s="4" t="s">
        <v>1363</v>
      </c>
      <c r="C26" s="23"/>
      <c r="D26" s="23"/>
      <c r="E26" s="23"/>
      <c r="F26" s="23"/>
      <c r="G26" s="23"/>
      <c r="K26" s="742">
        <f>SUM(H15:H25)</f>
        <v>0</v>
      </c>
      <c r="L26" s="742">
        <f>SUM(I15:I25)</f>
        <v>0</v>
      </c>
      <c r="M26" s="202">
        <f>+L26-K26</f>
        <v>0</v>
      </c>
      <c r="N26" s="743" t="str">
        <f>IF(K26+L26&lt;&gt;0,IF(K26&lt;&gt;0,IF(M26&lt;&gt;0,ROUND((+M26/K26),4),""),1),"")</f>
        <v/>
      </c>
    </row>
  </sheetData>
  <hyperlinks>
    <hyperlink ref="A1" location="'Working Budget with funding det'!A1" display="Main " xr:uid="{00000000-0004-0000-2800-000000000000}"/>
    <hyperlink ref="B1" location="'Table of Contents'!A1" display="TOC" xr:uid="{00000000-0004-0000-2800-000001000000}"/>
  </hyperlinks>
  <pageMargins left="0.7" right="0.7" top="0.75" bottom="0.75" header="0.3" footer="0.3"/>
  <pageSetup orientation="landscape" r:id="rId1"/>
  <headerFooter>
    <oddFooter>&amp;L&amp;D &amp;T&amp;C&amp;F&amp;R&amp;A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92D050"/>
    <pageSetUpPr fitToPage="1"/>
  </sheetPr>
  <dimension ref="A1:T182"/>
  <sheetViews>
    <sheetView topLeftCell="A6" workbookViewId="0">
      <selection activeCell="P6" sqref="P1:P1048576"/>
    </sheetView>
  </sheetViews>
  <sheetFormatPr defaultRowHeight="13.2" x14ac:dyDescent="0.25"/>
  <cols>
    <col min="1" max="1" width="8.77734375" style="885"/>
    <col min="2" max="2" width="36.6640625" customWidth="1"/>
    <col min="3" max="3" width="14.44140625" style="1" hidden="1" customWidth="1"/>
    <col min="4" max="10" width="14.44140625" style="114" hidden="1" customWidth="1"/>
    <col min="11" max="13" width="14.44140625" style="114" customWidth="1"/>
    <col min="14" max="14" width="14.44140625" customWidth="1"/>
    <col min="15" max="16" width="14.44140625" style="1" customWidth="1"/>
    <col min="17" max="19" width="14.44140625" customWidth="1"/>
    <col min="20" max="20" width="14.6640625" style="2" customWidth="1"/>
  </cols>
  <sheetData>
    <row r="1" spans="1:19" x14ac:dyDescent="0.25">
      <c r="A1" s="874" t="s">
        <v>1021</v>
      </c>
      <c r="B1" s="371" t="s">
        <v>1348</v>
      </c>
      <c r="P1"/>
    </row>
    <row r="2" spans="1:19" ht="13.8" x14ac:dyDescent="0.25">
      <c r="A2" s="875" t="s">
        <v>262</v>
      </c>
      <c r="B2" s="45"/>
      <c r="E2" s="141"/>
      <c r="I2" s="141" t="s">
        <v>257</v>
      </c>
      <c r="J2" s="141"/>
      <c r="K2" s="141"/>
      <c r="L2" s="141"/>
      <c r="M2" s="141"/>
      <c r="N2" s="61" t="s">
        <v>304</v>
      </c>
      <c r="P2" s="46" t="s">
        <v>88</v>
      </c>
    </row>
    <row r="3" spans="1:19" ht="13.8" thickBot="1" x14ac:dyDescent="0.3">
      <c r="A3" s="876"/>
      <c r="B3" s="4"/>
      <c r="C3" s="23"/>
      <c r="D3" s="23"/>
      <c r="E3" s="23"/>
      <c r="F3" s="23"/>
      <c r="G3" s="23"/>
      <c r="H3" s="23"/>
      <c r="I3" s="23"/>
      <c r="J3" s="23"/>
      <c r="K3" s="23"/>
      <c r="L3" s="23"/>
      <c r="M3" s="23"/>
      <c r="N3" s="4"/>
      <c r="O3" s="23"/>
      <c r="P3" s="4"/>
      <c r="S3" s="4"/>
    </row>
    <row r="4" spans="1:19" ht="13.8" thickTop="1" x14ac:dyDescent="0.25">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t="s">
        <v>910</v>
      </c>
    </row>
    <row r="5" spans="1:19" x14ac:dyDescent="0.25">
      <c r="A5" s="878"/>
      <c r="B5" s="209"/>
      <c r="C5" s="127"/>
      <c r="D5" s="87"/>
      <c r="E5" s="113"/>
      <c r="F5" s="87"/>
      <c r="G5" s="87"/>
      <c r="H5" s="113"/>
      <c r="I5" s="290"/>
      <c r="J5" s="290"/>
      <c r="K5" s="290"/>
      <c r="L5" s="290"/>
      <c r="M5" s="290"/>
      <c r="N5" s="113" t="s">
        <v>515</v>
      </c>
      <c r="O5" s="88" t="s">
        <v>7</v>
      </c>
      <c r="P5" s="203" t="s">
        <v>782</v>
      </c>
    </row>
    <row r="6" spans="1:19" x14ac:dyDescent="0.25">
      <c r="A6" s="878"/>
      <c r="B6" s="209"/>
      <c r="C6" s="127"/>
      <c r="D6" s="127"/>
      <c r="E6" s="127"/>
      <c r="F6" s="87"/>
      <c r="G6" s="127"/>
      <c r="H6" s="127"/>
      <c r="I6" s="88"/>
      <c r="J6" s="88"/>
      <c r="K6" s="88"/>
      <c r="L6" s="88"/>
      <c r="M6" s="88"/>
      <c r="N6" s="127"/>
      <c r="O6" s="88" t="s">
        <v>8</v>
      </c>
      <c r="P6" s="47" t="s">
        <v>543</v>
      </c>
    </row>
    <row r="7" spans="1:19"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44561</v>
      </c>
      <c r="O7" s="9" t="s">
        <v>9</v>
      </c>
      <c r="P7" s="9" t="s">
        <v>546</v>
      </c>
    </row>
    <row r="8" spans="1:19" ht="13.8" thickTop="1" x14ac:dyDescent="0.25">
      <c r="A8" s="908"/>
      <c r="B8" s="210"/>
      <c r="C8" s="132"/>
      <c r="D8" s="18"/>
      <c r="E8" s="18"/>
      <c r="F8" s="18"/>
      <c r="G8" s="18"/>
      <c r="H8" s="18"/>
      <c r="I8" s="19"/>
      <c r="J8" s="19"/>
      <c r="K8" s="19"/>
      <c r="L8" s="19"/>
      <c r="M8" s="19"/>
      <c r="N8" s="18"/>
      <c r="O8" s="19"/>
      <c r="P8" s="19"/>
    </row>
    <row r="9" spans="1:19" ht="13.8" thickBot="1" x14ac:dyDescent="0.3">
      <c r="A9" s="881">
        <v>5241</v>
      </c>
      <c r="B9" s="63" t="s">
        <v>196</v>
      </c>
      <c r="C9" s="131">
        <v>4741</v>
      </c>
      <c r="D9" s="15">
        <v>2715</v>
      </c>
      <c r="E9" s="13">
        <v>5850</v>
      </c>
      <c r="F9" s="13">
        <v>6360</v>
      </c>
      <c r="G9" s="13">
        <v>6040</v>
      </c>
      <c r="H9" s="13">
        <v>5440</v>
      </c>
      <c r="I9" s="13">
        <v>6955</v>
      </c>
      <c r="J9" s="13">
        <v>6845</v>
      </c>
      <c r="K9" s="14">
        <v>7000</v>
      </c>
      <c r="L9" s="13">
        <v>3227.64</v>
      </c>
      <c r="M9" s="14">
        <v>12000</v>
      </c>
      <c r="N9" s="13">
        <v>5935</v>
      </c>
      <c r="O9" s="14">
        <v>12000</v>
      </c>
      <c r="P9" s="14"/>
      <c r="Q9" s="240"/>
    </row>
    <row r="10" spans="1:19" x14ac:dyDescent="0.25">
      <c r="A10" s="881"/>
      <c r="B10" s="63" t="s">
        <v>1492</v>
      </c>
      <c r="C10" s="709"/>
      <c r="D10" s="30"/>
      <c r="E10" s="13"/>
      <c r="F10" s="13"/>
      <c r="G10" s="13"/>
      <c r="H10" s="13">
        <v>3000</v>
      </c>
      <c r="I10" s="13"/>
      <c r="J10" s="13"/>
      <c r="K10" s="14"/>
      <c r="L10" s="13"/>
      <c r="M10" s="14">
        <v>1440</v>
      </c>
      <c r="N10" s="13"/>
      <c r="O10" s="14">
        <v>1440</v>
      </c>
      <c r="P10" s="14"/>
    </row>
    <row r="11" spans="1:19" ht="13.8" thickBot="1" x14ac:dyDescent="0.3">
      <c r="A11" s="881"/>
      <c r="B11" s="63"/>
      <c r="C11" s="709"/>
      <c r="D11" s="30"/>
      <c r="E11" s="15"/>
      <c r="F11" s="15"/>
      <c r="G11" s="15"/>
      <c r="H11" s="15"/>
      <c r="I11" s="15"/>
      <c r="J11" s="15"/>
      <c r="K11" s="16"/>
      <c r="L11" s="15"/>
      <c r="M11" s="16"/>
      <c r="N11" s="15"/>
      <c r="O11" s="16"/>
      <c r="P11" s="16"/>
    </row>
    <row r="12" spans="1:19" x14ac:dyDescent="0.25">
      <c r="A12" s="881"/>
      <c r="B12" s="64" t="s">
        <v>449</v>
      </c>
      <c r="C12" s="132">
        <f t="shared" ref="C12:N12" si="0">SUM(C9:C9)</f>
        <v>4741</v>
      </c>
      <c r="D12" s="18">
        <f t="shared" si="0"/>
        <v>2715</v>
      </c>
      <c r="E12" s="18">
        <f t="shared" si="0"/>
        <v>5850</v>
      </c>
      <c r="F12" s="18">
        <f>+F9</f>
        <v>6360</v>
      </c>
      <c r="G12" s="18">
        <f>+G9</f>
        <v>6040</v>
      </c>
      <c r="H12" s="18">
        <f>+H9</f>
        <v>5440</v>
      </c>
      <c r="I12" s="18">
        <f>SUM(I9:I10)</f>
        <v>6955</v>
      </c>
      <c r="J12" s="18">
        <f>SUM(J9:J10)</f>
        <v>6845</v>
      </c>
      <c r="K12" s="19">
        <f>SUM(K9:K11)</f>
        <v>7000</v>
      </c>
      <c r="L12" s="18">
        <f t="shared" ref="L12:M12" si="1">SUM(L9:L11)</f>
        <v>3227.64</v>
      </c>
      <c r="M12" s="19">
        <f t="shared" si="1"/>
        <v>13440</v>
      </c>
      <c r="N12" s="18">
        <f t="shared" si="0"/>
        <v>5935</v>
      </c>
      <c r="O12" s="19">
        <f>SUM(O9:O11)</f>
        <v>13440</v>
      </c>
      <c r="P12" s="19">
        <f>SUM(P9:P9)</f>
        <v>0</v>
      </c>
    </row>
    <row r="13" spans="1:19" x14ac:dyDescent="0.25">
      <c r="A13" s="881"/>
      <c r="B13" s="207"/>
      <c r="C13" s="709"/>
      <c r="D13" s="30"/>
      <c r="E13" s="30"/>
      <c r="F13" s="30"/>
      <c r="G13" s="30"/>
      <c r="H13" s="30"/>
      <c r="I13" s="30"/>
      <c r="J13" s="30"/>
      <c r="K13" s="31"/>
      <c r="L13" s="30"/>
      <c r="M13" s="31"/>
      <c r="N13" s="30"/>
      <c r="O13" s="31"/>
      <c r="P13" s="31"/>
    </row>
    <row r="14" spans="1:19" ht="13.8" thickBot="1" x14ac:dyDescent="0.3">
      <c r="A14" s="881">
        <v>5800</v>
      </c>
      <c r="B14" s="63" t="s">
        <v>276</v>
      </c>
      <c r="C14" s="131"/>
      <c r="D14" s="15"/>
      <c r="E14" s="15"/>
      <c r="F14" s="15"/>
      <c r="G14" s="15"/>
      <c r="H14" s="15"/>
      <c r="I14" s="15"/>
      <c r="J14" s="15"/>
      <c r="K14" s="43"/>
      <c r="L14" s="15"/>
      <c r="M14" s="43"/>
      <c r="N14" s="15"/>
      <c r="O14" s="43"/>
      <c r="P14" s="43"/>
    </row>
    <row r="15" spans="1:19" x14ac:dyDescent="0.25">
      <c r="A15" s="881"/>
      <c r="B15" s="64" t="s">
        <v>136</v>
      </c>
      <c r="C15" s="132">
        <f t="shared" ref="C15:O15" si="2">+C14</f>
        <v>0</v>
      </c>
      <c r="D15" s="18">
        <f t="shared" si="2"/>
        <v>0</v>
      </c>
      <c r="E15" s="18">
        <f>+E14</f>
        <v>0</v>
      </c>
      <c r="F15" s="18"/>
      <c r="G15" s="18"/>
      <c r="H15" s="18"/>
      <c r="I15" s="18">
        <f>+I14</f>
        <v>0</v>
      </c>
      <c r="J15" s="18">
        <f>+J14</f>
        <v>0</v>
      </c>
      <c r="K15" s="19">
        <f t="shared" ref="K15:M15" si="3">+K14</f>
        <v>0</v>
      </c>
      <c r="L15" s="18">
        <f t="shared" si="3"/>
        <v>0</v>
      </c>
      <c r="M15" s="19">
        <f t="shared" si="3"/>
        <v>0</v>
      </c>
      <c r="N15" s="18">
        <f t="shared" si="2"/>
        <v>0</v>
      </c>
      <c r="O15" s="19">
        <f t="shared" si="2"/>
        <v>0</v>
      </c>
      <c r="P15" s="19">
        <f>+P14</f>
        <v>0</v>
      </c>
    </row>
    <row r="16" spans="1:19" x14ac:dyDescent="0.25">
      <c r="A16" s="881"/>
      <c r="B16" s="63"/>
      <c r="C16" s="130"/>
      <c r="D16" s="13"/>
      <c r="E16" s="13"/>
      <c r="F16" s="13"/>
      <c r="G16" s="13"/>
      <c r="H16" s="13"/>
      <c r="I16" s="13"/>
      <c r="J16" s="13"/>
      <c r="K16" s="14"/>
      <c r="L16" s="13"/>
      <c r="M16" s="14"/>
      <c r="N16" s="13"/>
      <c r="O16" s="14"/>
      <c r="P16" s="14"/>
    </row>
    <row r="17" spans="1:19" ht="13.8" thickBot="1" x14ac:dyDescent="0.3">
      <c r="A17" s="882"/>
      <c r="B17" s="723" t="s">
        <v>464</v>
      </c>
      <c r="C17" s="714">
        <f t="shared" ref="C17:O17" si="4">+C15+C12</f>
        <v>4741</v>
      </c>
      <c r="D17" s="21">
        <f t="shared" si="4"/>
        <v>2715</v>
      </c>
      <c r="E17" s="21">
        <f t="shared" ref="E17:J17" si="5">+E15+E12</f>
        <v>5850</v>
      </c>
      <c r="F17" s="21">
        <f t="shared" si="5"/>
        <v>6360</v>
      </c>
      <c r="G17" s="21">
        <f t="shared" si="5"/>
        <v>6040</v>
      </c>
      <c r="H17" s="21">
        <f t="shared" si="5"/>
        <v>5440</v>
      </c>
      <c r="I17" s="21">
        <f t="shared" si="5"/>
        <v>6955</v>
      </c>
      <c r="J17" s="21">
        <f t="shared" si="5"/>
        <v>6845</v>
      </c>
      <c r="K17" s="22">
        <f t="shared" ref="K17:M17" si="6">+K15+K12</f>
        <v>7000</v>
      </c>
      <c r="L17" s="21">
        <f t="shared" si="6"/>
        <v>3227.64</v>
      </c>
      <c r="M17" s="22">
        <f t="shared" si="6"/>
        <v>13440</v>
      </c>
      <c r="N17" s="21">
        <f t="shared" si="4"/>
        <v>5935</v>
      </c>
      <c r="O17" s="22">
        <f t="shared" si="4"/>
        <v>13440</v>
      </c>
      <c r="P17" s="22">
        <f>+O17</f>
        <v>13440</v>
      </c>
    </row>
    <row r="18" spans="1:19" ht="13.8" thickTop="1" x14ac:dyDescent="0.25">
      <c r="A18" s="876"/>
      <c r="B18" s="724"/>
      <c r="C18" s="24"/>
      <c r="D18" s="24"/>
      <c r="E18" s="24"/>
      <c r="F18" s="24"/>
      <c r="G18" s="24"/>
      <c r="H18" s="24"/>
      <c r="I18" s="24"/>
      <c r="J18" s="24"/>
      <c r="K18" s="24"/>
      <c r="L18" s="24"/>
      <c r="M18" s="24"/>
      <c r="N18" s="25"/>
      <c r="O18" s="24"/>
      <c r="P18" s="23"/>
      <c r="Q18" s="25"/>
      <c r="R18" s="25"/>
      <c r="S18" s="25"/>
    </row>
    <row r="19" spans="1:19" ht="13.8" thickBot="1" x14ac:dyDescent="0.3">
      <c r="A19" s="876"/>
      <c r="B19" s="4"/>
      <c r="C19" s="23"/>
      <c r="D19" s="23"/>
      <c r="E19" s="23"/>
      <c r="F19" s="23"/>
      <c r="G19" s="23"/>
      <c r="H19" s="23"/>
      <c r="I19" s="23"/>
      <c r="J19" s="23"/>
      <c r="K19" s="23"/>
      <c r="L19" s="23"/>
      <c r="M19" s="23"/>
      <c r="N19" s="27"/>
      <c r="O19" s="23"/>
      <c r="P19" s="27"/>
      <c r="Q19" s="27"/>
      <c r="R19" s="27"/>
      <c r="S19" s="27"/>
    </row>
    <row r="20" spans="1:19" ht="13.8" thickTop="1" x14ac:dyDescent="0.25">
      <c r="A20" s="893"/>
      <c r="B20" s="452"/>
      <c r="C20" s="453" t="s">
        <v>127</v>
      </c>
      <c r="D20" s="454" t="s">
        <v>127</v>
      </c>
      <c r="E20" s="454" t="s">
        <v>127</v>
      </c>
      <c r="K20" s="455" t="s">
        <v>547</v>
      </c>
      <c r="L20" s="456" t="s">
        <v>9</v>
      </c>
      <c r="M20" s="457" t="s">
        <v>1073</v>
      </c>
      <c r="N20" s="456" t="s">
        <v>686</v>
      </c>
      <c r="O20" s="458"/>
      <c r="P20" s="457"/>
      <c r="Q20" s="27"/>
      <c r="R20" s="27"/>
      <c r="S20" s="27"/>
    </row>
    <row r="21" spans="1:19" ht="13.8" thickBot="1" x14ac:dyDescent="0.3">
      <c r="A21" s="894" t="s">
        <v>128</v>
      </c>
      <c r="B21" s="459"/>
      <c r="C21" s="460" t="s">
        <v>347</v>
      </c>
      <c r="D21" s="460" t="s">
        <v>722</v>
      </c>
      <c r="E21" s="461" t="s">
        <v>737</v>
      </c>
      <c r="K21" s="462" t="s">
        <v>909</v>
      </c>
      <c r="L21" s="462" t="s">
        <v>910</v>
      </c>
      <c r="M21" s="461" t="s">
        <v>1075</v>
      </c>
      <c r="N21" s="463" t="s">
        <v>1075</v>
      </c>
      <c r="O21" s="464" t="s">
        <v>1074</v>
      </c>
      <c r="P21" s="462"/>
      <c r="Q21" s="27"/>
      <c r="R21" s="27"/>
      <c r="S21" s="27"/>
    </row>
    <row r="22" spans="1:19" ht="13.8" thickTop="1" x14ac:dyDescent="0.25">
      <c r="A22" s="910"/>
      <c r="B22" s="480"/>
      <c r="C22" s="468"/>
      <c r="D22" s="468"/>
      <c r="E22" s="468"/>
      <c r="K22" s="469"/>
      <c r="L22" s="468"/>
      <c r="M22" s="500"/>
      <c r="N22" s="477"/>
      <c r="O22" s="470"/>
      <c r="P22" s="471"/>
      <c r="Q22" s="27"/>
      <c r="R22" s="27"/>
      <c r="S22" s="27"/>
    </row>
    <row r="23" spans="1:19" ht="13.8" thickBot="1" x14ac:dyDescent="0.3">
      <c r="A23" s="907">
        <v>5241</v>
      </c>
      <c r="B23" s="472" t="s">
        <v>196</v>
      </c>
      <c r="C23" s="474">
        <v>4741</v>
      </c>
      <c r="D23" s="474">
        <v>2715</v>
      </c>
      <c r="E23" s="476">
        <v>5850</v>
      </c>
      <c r="K23" s="475">
        <f>+M9</f>
        <v>12000</v>
      </c>
      <c r="L23" s="497">
        <f>+O9</f>
        <v>12000</v>
      </c>
      <c r="M23" s="500">
        <f>+L23-K23</f>
        <v>0</v>
      </c>
      <c r="N23" s="477" t="str">
        <f>IF(K23+L23&lt;&gt;0,IF(K23&lt;&gt;0,IF(M23&lt;&gt;0,ROUND((+M23/K23),4),""),1),"")</f>
        <v/>
      </c>
      <c r="O23" s="470"/>
      <c r="P23" s="471"/>
      <c r="Q23" s="27"/>
      <c r="R23" s="27"/>
      <c r="S23" s="27"/>
    </row>
    <row r="24" spans="1:19" x14ac:dyDescent="0.25">
      <c r="A24" s="907">
        <v>5245</v>
      </c>
      <c r="B24" s="472" t="s">
        <v>1644</v>
      </c>
      <c r="C24" s="481"/>
      <c r="D24" s="481"/>
      <c r="E24" s="476"/>
      <c r="K24" s="475">
        <f>+M10</f>
        <v>1440</v>
      </c>
      <c r="L24" s="497">
        <f>+O10</f>
        <v>1440</v>
      </c>
      <c r="M24" s="500">
        <f>+L24-K24</f>
        <v>0</v>
      </c>
      <c r="N24" s="477" t="str">
        <f>IF(K24+L24&lt;&gt;0,IF(K24&lt;&gt;0,IF(M24&lt;&gt;0,ROUND((+M24/K24),4),""),1),"")</f>
        <v/>
      </c>
      <c r="O24" s="470"/>
      <c r="P24" s="471"/>
      <c r="Q24" s="27"/>
      <c r="R24" s="27"/>
      <c r="S24" s="27"/>
    </row>
    <row r="25" spans="1:19" x14ac:dyDescent="0.25">
      <c r="A25" s="907"/>
      <c r="B25" s="472"/>
      <c r="C25" s="481"/>
      <c r="D25" s="481"/>
      <c r="E25" s="476"/>
      <c r="K25" s="475">
        <f>+M15</f>
        <v>0</v>
      </c>
      <c r="L25" s="497">
        <f>+O15</f>
        <v>0</v>
      </c>
      <c r="M25" s="500">
        <f>+L25-K25</f>
        <v>0</v>
      </c>
      <c r="N25" s="477" t="str">
        <f>IF(K25+L25&lt;&gt;0,IF(K25&lt;&gt;0,IF(M25&lt;&gt;0,ROUND((+M25/K25),4),""),1),"")</f>
        <v/>
      </c>
      <c r="O25" s="470"/>
      <c r="P25" s="471"/>
      <c r="Q25" s="27"/>
      <c r="R25" s="27"/>
      <c r="S25" s="27"/>
    </row>
    <row r="26" spans="1:19" x14ac:dyDescent="0.25">
      <c r="A26" s="923"/>
      <c r="B26" s="502"/>
      <c r="C26" s="503"/>
      <c r="D26" s="503"/>
      <c r="E26" s="503"/>
      <c r="K26" s="503"/>
      <c r="L26" s="503"/>
      <c r="M26" s="503"/>
      <c r="N26" s="504"/>
      <c r="O26" s="503"/>
      <c r="P26" s="503"/>
      <c r="Q26" s="27"/>
      <c r="R26" s="27"/>
      <c r="S26" s="27"/>
    </row>
    <row r="27" spans="1:19" x14ac:dyDescent="0.25">
      <c r="A27" s="876"/>
      <c r="B27" s="4"/>
      <c r="C27" s="23"/>
      <c r="D27" s="23"/>
      <c r="E27" s="23"/>
      <c r="F27" s="23"/>
      <c r="G27" s="23"/>
      <c r="K27" s="23"/>
      <c r="L27" s="23"/>
      <c r="M27" s="23"/>
      <c r="N27" s="27"/>
      <c r="O27" s="23"/>
      <c r="P27" s="23"/>
      <c r="Q27" s="27"/>
      <c r="R27" s="27"/>
      <c r="S27" s="27"/>
    </row>
    <row r="28" spans="1:19" x14ac:dyDescent="0.25">
      <c r="A28" s="876"/>
      <c r="B28" s="4" t="s">
        <v>1363</v>
      </c>
      <c r="C28" s="23"/>
      <c r="D28" s="23"/>
      <c r="E28" s="23"/>
      <c r="F28" s="23"/>
      <c r="G28" s="23"/>
      <c r="K28" s="742">
        <f>SUM(K23:K27)</f>
        <v>13440</v>
      </c>
      <c r="L28" s="742">
        <f>SUM(L23:L27)</f>
        <v>13440</v>
      </c>
      <c r="M28" s="202">
        <f>+L28-K28</f>
        <v>0</v>
      </c>
      <c r="N28" s="743" t="str">
        <f>IF(K28+L28&lt;&gt;0,IF(K28&lt;&gt;0,IF(M28&lt;&gt;0,ROUND((+M28/K28),4),""),1),"")</f>
        <v/>
      </c>
      <c r="O28" s="23"/>
      <c r="P28" s="23"/>
      <c r="Q28" s="27"/>
      <c r="R28" s="27"/>
      <c r="S28" s="27"/>
    </row>
    <row r="29" spans="1:19" x14ac:dyDescent="0.25">
      <c r="A29" s="876"/>
      <c r="B29" s="4"/>
      <c r="C29" s="23"/>
      <c r="D29" s="23"/>
      <c r="E29" s="23"/>
      <c r="F29" s="23"/>
      <c r="G29" s="23"/>
      <c r="H29" s="23"/>
      <c r="I29" s="23"/>
      <c r="J29" s="23"/>
      <c r="K29" s="23"/>
      <c r="L29" s="23"/>
      <c r="M29" s="23"/>
      <c r="N29" s="27"/>
      <c r="O29" s="23"/>
      <c r="P29" s="23"/>
      <c r="Q29" s="27"/>
      <c r="R29" s="27"/>
      <c r="S29" s="27"/>
    </row>
    <row r="30" spans="1:19" x14ac:dyDescent="0.25">
      <c r="A30" s="876"/>
      <c r="B30" s="4"/>
      <c r="C30" s="23"/>
      <c r="D30" s="23"/>
      <c r="E30" s="23"/>
      <c r="F30" s="23"/>
      <c r="G30" s="23"/>
      <c r="H30" s="23"/>
      <c r="I30" s="23"/>
      <c r="J30" s="23"/>
      <c r="K30" s="23"/>
      <c r="L30" s="23"/>
      <c r="M30" s="23"/>
      <c r="N30" s="27"/>
      <c r="O30" s="23"/>
      <c r="P30" s="23"/>
      <c r="Q30" s="27"/>
      <c r="R30" s="27"/>
      <c r="S30" s="27"/>
    </row>
    <row r="31" spans="1:19" x14ac:dyDescent="0.25">
      <c r="A31" s="876"/>
      <c r="B31" s="4"/>
      <c r="C31" s="23"/>
      <c r="D31" s="23"/>
      <c r="E31" s="23"/>
      <c r="F31" s="23"/>
      <c r="G31" s="23"/>
      <c r="H31" s="23"/>
      <c r="I31" s="23"/>
      <c r="J31" s="23"/>
      <c r="K31" s="23"/>
      <c r="L31" s="23"/>
      <c r="M31" s="23"/>
      <c r="N31" s="27"/>
      <c r="O31" s="23"/>
      <c r="P31" s="23"/>
      <c r="Q31" s="27"/>
      <c r="R31" s="27"/>
      <c r="S31" s="27"/>
    </row>
    <row r="32" spans="1:19" x14ac:dyDescent="0.25">
      <c r="A32" s="876"/>
      <c r="B32" s="4"/>
      <c r="C32" s="23"/>
      <c r="D32" s="23"/>
      <c r="E32" s="23"/>
      <c r="F32" s="23"/>
      <c r="G32" s="23"/>
      <c r="H32" s="23"/>
      <c r="I32" s="23"/>
      <c r="J32" s="23"/>
      <c r="K32" s="23"/>
      <c r="L32" s="23"/>
      <c r="M32" s="23"/>
      <c r="N32" s="27"/>
      <c r="O32" s="23"/>
      <c r="P32" s="23"/>
      <c r="Q32" s="27"/>
      <c r="R32" s="27"/>
      <c r="S32" s="27"/>
    </row>
    <row r="33" spans="1:19" x14ac:dyDescent="0.25">
      <c r="A33" s="876"/>
      <c r="B33" s="4"/>
      <c r="C33" s="23"/>
      <c r="D33" s="23"/>
      <c r="E33" s="23"/>
      <c r="F33" s="23"/>
      <c r="G33" s="23"/>
      <c r="H33" s="23"/>
      <c r="I33" s="23"/>
      <c r="J33" s="23"/>
      <c r="K33" s="23"/>
      <c r="L33" s="23"/>
      <c r="M33" s="23"/>
      <c r="N33" s="27"/>
      <c r="O33" s="23"/>
      <c r="P33" s="23"/>
      <c r="Q33" s="27"/>
      <c r="R33" s="27"/>
      <c r="S33" s="27"/>
    </row>
    <row r="34" spans="1:19" x14ac:dyDescent="0.25">
      <c r="A34" s="876"/>
      <c r="B34" s="4"/>
      <c r="C34" s="23"/>
      <c r="D34" s="23"/>
      <c r="E34" s="23"/>
      <c r="F34" s="23"/>
      <c r="G34" s="23"/>
      <c r="H34" s="23"/>
      <c r="I34" s="23"/>
      <c r="J34" s="23"/>
      <c r="K34" s="23"/>
      <c r="L34" s="23"/>
      <c r="M34" s="23"/>
      <c r="N34" s="27"/>
      <c r="O34" s="23"/>
      <c r="P34" s="23"/>
      <c r="Q34" s="27"/>
      <c r="R34" s="27"/>
      <c r="S34" s="27"/>
    </row>
    <row r="35" spans="1:19" x14ac:dyDescent="0.25">
      <c r="A35" s="876"/>
      <c r="B35" s="4"/>
      <c r="C35" s="23"/>
      <c r="D35" s="23"/>
      <c r="E35" s="23"/>
      <c r="F35" s="23"/>
      <c r="G35" s="23"/>
      <c r="H35" s="23"/>
      <c r="I35" s="23"/>
      <c r="J35" s="23"/>
      <c r="K35" s="23"/>
      <c r="L35" s="23"/>
      <c r="M35" s="23"/>
      <c r="N35" s="27"/>
      <c r="O35" s="23"/>
      <c r="P35" s="23"/>
      <c r="Q35" s="27"/>
      <c r="R35" s="27"/>
      <c r="S35" s="27"/>
    </row>
    <row r="36" spans="1:19" x14ac:dyDescent="0.25">
      <c r="A36" s="876"/>
      <c r="B36" s="4"/>
      <c r="C36" s="23"/>
      <c r="D36" s="23"/>
      <c r="E36" s="23"/>
      <c r="F36" s="23"/>
      <c r="G36" s="23"/>
      <c r="H36" s="23"/>
      <c r="I36" s="23"/>
      <c r="J36" s="23"/>
      <c r="K36" s="23"/>
      <c r="L36" s="23"/>
      <c r="M36" s="23"/>
      <c r="N36" s="27"/>
      <c r="O36" s="23"/>
      <c r="P36" s="23"/>
      <c r="Q36" s="27"/>
      <c r="R36" s="27"/>
      <c r="S36" s="27"/>
    </row>
    <row r="37" spans="1:19" x14ac:dyDescent="0.25">
      <c r="A37" s="876"/>
      <c r="B37" s="4"/>
      <c r="C37" s="23"/>
      <c r="D37" s="23"/>
      <c r="E37" s="23"/>
      <c r="F37" s="23"/>
      <c r="G37" s="23"/>
      <c r="H37" s="23"/>
      <c r="I37" s="23"/>
      <c r="J37" s="23"/>
      <c r="K37" s="23"/>
      <c r="L37" s="23"/>
      <c r="M37" s="23"/>
      <c r="N37" s="27"/>
      <c r="O37" s="23"/>
      <c r="P37" s="23"/>
      <c r="Q37" s="27"/>
      <c r="R37" s="27"/>
      <c r="S37" s="27"/>
    </row>
    <row r="38" spans="1:19" x14ac:dyDescent="0.25">
      <c r="A38" s="876"/>
      <c r="B38" s="4"/>
      <c r="C38" s="23"/>
      <c r="D38" s="23"/>
      <c r="E38" s="23"/>
      <c r="F38" s="23"/>
      <c r="G38" s="23"/>
      <c r="H38" s="23"/>
      <c r="I38" s="23"/>
      <c r="J38" s="23"/>
      <c r="K38" s="23"/>
      <c r="L38" s="23"/>
      <c r="M38" s="23"/>
      <c r="N38" s="27"/>
      <c r="O38" s="23"/>
      <c r="P38" s="23"/>
      <c r="Q38" s="27"/>
      <c r="R38" s="27"/>
      <c r="S38" s="27"/>
    </row>
    <row r="39" spans="1:19" x14ac:dyDescent="0.25">
      <c r="A39" s="876"/>
      <c r="B39" s="4"/>
      <c r="C39" s="23"/>
      <c r="D39" s="23"/>
      <c r="E39" s="23"/>
      <c r="F39" s="23"/>
      <c r="G39" s="23"/>
      <c r="H39" s="23"/>
      <c r="I39" s="23"/>
      <c r="J39" s="23"/>
      <c r="K39" s="23"/>
      <c r="L39" s="23"/>
      <c r="M39" s="23"/>
      <c r="N39" s="27"/>
      <c r="O39" s="23"/>
      <c r="P39" s="23"/>
      <c r="Q39" s="27"/>
      <c r="R39" s="27"/>
      <c r="S39" s="27"/>
    </row>
    <row r="40" spans="1:19" x14ac:dyDescent="0.25">
      <c r="A40" s="876"/>
      <c r="B40" s="4"/>
      <c r="C40" s="23"/>
      <c r="D40" s="23"/>
      <c r="E40" s="23"/>
      <c r="F40" s="23"/>
      <c r="G40" s="23"/>
      <c r="H40" s="23"/>
      <c r="I40" s="23"/>
      <c r="J40" s="23"/>
      <c r="K40" s="23"/>
      <c r="L40" s="23"/>
      <c r="M40" s="23"/>
      <c r="N40" s="27"/>
      <c r="O40" s="23"/>
      <c r="P40" s="23"/>
      <c r="Q40" s="27"/>
      <c r="R40" s="27"/>
      <c r="S40" s="27"/>
    </row>
    <row r="41" spans="1:19" x14ac:dyDescent="0.25">
      <c r="A41" s="876"/>
      <c r="B41" s="4"/>
      <c r="C41" s="23"/>
      <c r="D41" s="23"/>
      <c r="E41" s="23"/>
      <c r="F41" s="23"/>
      <c r="G41" s="23"/>
      <c r="H41" s="23"/>
      <c r="I41" s="23"/>
      <c r="J41" s="23"/>
      <c r="K41" s="23"/>
      <c r="L41" s="23"/>
      <c r="M41" s="23"/>
      <c r="N41" s="27"/>
      <c r="O41" s="23"/>
      <c r="P41" s="23"/>
      <c r="Q41" s="27"/>
      <c r="R41" s="27"/>
      <c r="S41" s="27"/>
    </row>
    <row r="42" spans="1:19" x14ac:dyDescent="0.25">
      <c r="A42" s="876"/>
      <c r="B42" s="4"/>
      <c r="C42" s="23"/>
      <c r="D42" s="23"/>
      <c r="E42" s="23"/>
      <c r="F42" s="23"/>
      <c r="G42" s="23"/>
      <c r="H42" s="23"/>
      <c r="I42" s="23"/>
      <c r="J42" s="23"/>
      <c r="K42" s="23"/>
      <c r="L42" s="23"/>
      <c r="M42" s="23"/>
      <c r="N42" s="27"/>
      <c r="O42" s="23"/>
      <c r="P42" s="23"/>
      <c r="Q42" s="27"/>
      <c r="R42" s="27"/>
      <c r="S42" s="27"/>
    </row>
    <row r="43" spans="1:19" x14ac:dyDescent="0.25">
      <c r="A43" s="876"/>
      <c r="B43" s="4"/>
      <c r="C43" s="23"/>
      <c r="D43" s="23"/>
      <c r="E43" s="23"/>
      <c r="F43" s="23"/>
      <c r="G43" s="23"/>
      <c r="H43" s="23"/>
      <c r="I43" s="23"/>
      <c r="J43" s="23"/>
      <c r="K43" s="23"/>
      <c r="L43" s="23"/>
      <c r="M43" s="23"/>
      <c r="N43" s="27"/>
      <c r="O43" s="23"/>
      <c r="P43" s="23"/>
      <c r="Q43" s="27"/>
      <c r="R43" s="27"/>
      <c r="S43" s="27"/>
    </row>
    <row r="44" spans="1:19" x14ac:dyDescent="0.25">
      <c r="A44" s="876"/>
      <c r="B44" s="4"/>
      <c r="C44" s="23"/>
      <c r="D44" s="23"/>
      <c r="E44" s="23"/>
      <c r="F44" s="23"/>
      <c r="G44" s="23"/>
      <c r="H44" s="23"/>
      <c r="I44" s="23"/>
      <c r="J44" s="23"/>
      <c r="K44" s="23"/>
      <c r="L44" s="23"/>
      <c r="M44" s="23"/>
      <c r="N44" s="27"/>
      <c r="O44" s="23"/>
      <c r="P44" s="23"/>
      <c r="Q44" s="27"/>
      <c r="R44" s="27"/>
      <c r="S44" s="27"/>
    </row>
    <row r="45" spans="1:19" x14ac:dyDescent="0.25">
      <c r="A45" s="876"/>
      <c r="B45" s="4"/>
      <c r="C45" s="23"/>
      <c r="D45" s="23"/>
      <c r="E45" s="23"/>
      <c r="F45" s="23"/>
      <c r="G45" s="23"/>
      <c r="H45" s="23"/>
      <c r="I45" s="23"/>
      <c r="J45" s="23"/>
      <c r="K45" s="23"/>
      <c r="L45" s="23"/>
      <c r="M45" s="23"/>
      <c r="N45" s="27"/>
      <c r="O45" s="23"/>
      <c r="P45" s="23"/>
      <c r="Q45" s="27"/>
      <c r="R45" s="27"/>
      <c r="S45" s="27"/>
    </row>
    <row r="46" spans="1:19" x14ac:dyDescent="0.25">
      <c r="A46" s="876"/>
      <c r="B46" s="4"/>
      <c r="C46" s="23"/>
      <c r="D46" s="23"/>
      <c r="E46" s="23"/>
      <c r="F46" s="23"/>
      <c r="G46" s="23"/>
      <c r="H46" s="23"/>
      <c r="I46" s="23"/>
      <c r="J46" s="23"/>
      <c r="K46" s="23"/>
      <c r="L46" s="23"/>
      <c r="M46" s="23"/>
      <c r="N46" s="27"/>
      <c r="O46" s="23"/>
      <c r="P46" s="23"/>
      <c r="Q46" s="27"/>
      <c r="R46" s="27"/>
      <c r="S46" s="27"/>
    </row>
    <row r="47" spans="1:19" x14ac:dyDescent="0.25">
      <c r="A47" s="876"/>
      <c r="B47" s="4"/>
      <c r="C47" s="23"/>
      <c r="D47" s="23"/>
      <c r="E47" s="23"/>
      <c r="F47" s="23"/>
      <c r="G47" s="23"/>
      <c r="H47" s="23"/>
      <c r="I47" s="23"/>
      <c r="J47" s="23"/>
      <c r="K47" s="23"/>
      <c r="L47" s="23"/>
      <c r="M47" s="23"/>
      <c r="N47" s="27"/>
      <c r="O47" s="23"/>
      <c r="P47" s="23"/>
      <c r="Q47" s="27"/>
      <c r="R47" s="27"/>
      <c r="S47" s="27"/>
    </row>
    <row r="48" spans="1:19" x14ac:dyDescent="0.25">
      <c r="A48" s="876"/>
      <c r="B48" s="4"/>
      <c r="C48" s="23"/>
      <c r="D48" s="23"/>
      <c r="E48" s="23"/>
      <c r="F48" s="23"/>
      <c r="G48" s="23"/>
      <c r="H48" s="23"/>
      <c r="I48" s="23"/>
      <c r="J48" s="23"/>
      <c r="K48" s="23"/>
      <c r="L48" s="23"/>
      <c r="M48" s="23"/>
      <c r="N48" s="27"/>
      <c r="O48" s="23"/>
      <c r="P48" s="23"/>
      <c r="Q48" s="27"/>
      <c r="R48" s="27"/>
      <c r="S48" s="27"/>
    </row>
    <row r="49" spans="1:19" x14ac:dyDescent="0.25">
      <c r="A49" s="876"/>
      <c r="B49" s="4"/>
      <c r="C49" s="23"/>
      <c r="D49" s="23"/>
      <c r="E49" s="23"/>
      <c r="F49" s="23"/>
      <c r="G49" s="23"/>
      <c r="H49" s="23"/>
      <c r="I49" s="23"/>
      <c r="J49" s="23"/>
      <c r="K49" s="23"/>
      <c r="L49" s="23"/>
      <c r="M49" s="23"/>
      <c r="N49" s="27"/>
      <c r="O49" s="23"/>
      <c r="P49" s="23"/>
      <c r="Q49" s="27"/>
      <c r="R49" s="27"/>
      <c r="S49" s="27"/>
    </row>
    <row r="50" spans="1:19" x14ac:dyDescent="0.25">
      <c r="A50" s="876"/>
      <c r="B50" s="4"/>
      <c r="C50" s="23"/>
      <c r="D50" s="23"/>
      <c r="E50" s="23"/>
      <c r="F50" s="23"/>
      <c r="G50" s="23"/>
      <c r="H50" s="23"/>
      <c r="I50" s="23"/>
      <c r="J50" s="23"/>
      <c r="K50" s="23"/>
      <c r="L50" s="23"/>
      <c r="M50" s="23"/>
      <c r="N50" s="27"/>
      <c r="O50" s="23"/>
      <c r="P50" s="23"/>
      <c r="Q50" s="27"/>
      <c r="R50" s="27"/>
      <c r="S50" s="27"/>
    </row>
    <row r="51" spans="1:19" x14ac:dyDescent="0.25">
      <c r="A51" s="876"/>
      <c r="B51" s="4"/>
      <c r="C51" s="23"/>
      <c r="D51" s="23"/>
      <c r="E51" s="23"/>
      <c r="F51" s="23"/>
      <c r="G51" s="23"/>
      <c r="H51" s="23"/>
      <c r="I51" s="23"/>
      <c r="J51" s="23"/>
      <c r="K51" s="23"/>
      <c r="L51" s="23"/>
      <c r="M51" s="23"/>
      <c r="N51" s="27"/>
      <c r="O51" s="23"/>
      <c r="P51" s="23"/>
      <c r="Q51" s="27"/>
      <c r="R51" s="27"/>
      <c r="S51" s="27"/>
    </row>
    <row r="52" spans="1:19" x14ac:dyDescent="0.25">
      <c r="A52" s="876"/>
      <c r="B52" s="4"/>
      <c r="C52" s="23"/>
      <c r="D52" s="23"/>
      <c r="E52" s="23"/>
      <c r="F52" s="23"/>
      <c r="G52" s="23"/>
      <c r="H52" s="23"/>
      <c r="I52" s="23"/>
      <c r="J52" s="23"/>
      <c r="K52" s="23"/>
      <c r="L52" s="23"/>
      <c r="M52" s="23"/>
      <c r="N52" s="27"/>
      <c r="O52" s="23"/>
      <c r="P52" s="23"/>
      <c r="Q52" s="27"/>
      <c r="R52" s="27"/>
      <c r="S52" s="27"/>
    </row>
    <row r="53" spans="1:19" x14ac:dyDescent="0.25">
      <c r="A53" s="876"/>
      <c r="B53" s="4"/>
      <c r="C53" s="23"/>
      <c r="D53" s="23"/>
      <c r="E53" s="23"/>
      <c r="F53" s="23"/>
      <c r="G53" s="23"/>
      <c r="H53" s="23"/>
      <c r="I53" s="23"/>
      <c r="J53" s="23"/>
      <c r="K53" s="23"/>
      <c r="L53" s="23"/>
      <c r="M53" s="23"/>
      <c r="N53" s="27"/>
      <c r="O53" s="23"/>
      <c r="P53" s="23"/>
      <c r="Q53" s="27"/>
      <c r="R53" s="27"/>
      <c r="S53" s="27"/>
    </row>
    <row r="54" spans="1:19" x14ac:dyDescent="0.25">
      <c r="A54" s="876"/>
      <c r="B54" s="4"/>
      <c r="C54" s="23"/>
      <c r="D54" s="23"/>
      <c r="E54" s="23"/>
      <c r="F54" s="23"/>
      <c r="G54" s="23"/>
      <c r="H54" s="23"/>
      <c r="I54" s="23"/>
      <c r="J54" s="23"/>
      <c r="K54" s="23"/>
      <c r="L54" s="23"/>
      <c r="M54" s="23"/>
      <c r="N54" s="27"/>
      <c r="O54" s="23"/>
      <c r="P54" s="23"/>
      <c r="Q54" s="27"/>
      <c r="R54" s="27"/>
      <c r="S54" s="27"/>
    </row>
    <row r="55" spans="1:19" x14ac:dyDescent="0.25">
      <c r="A55" s="876"/>
      <c r="B55" s="4"/>
      <c r="C55" s="23"/>
      <c r="D55" s="23"/>
      <c r="E55" s="23"/>
      <c r="F55" s="23"/>
      <c r="G55" s="23"/>
      <c r="H55" s="23"/>
      <c r="I55" s="23"/>
      <c r="J55" s="23"/>
      <c r="K55" s="23"/>
      <c r="L55" s="23"/>
      <c r="M55" s="23"/>
      <c r="N55" s="27"/>
      <c r="O55" s="23"/>
      <c r="P55" s="23"/>
      <c r="Q55" s="27"/>
      <c r="R55" s="27"/>
      <c r="S55" s="27"/>
    </row>
    <row r="56" spans="1:19" x14ac:dyDescent="0.25">
      <c r="A56" s="876"/>
      <c r="B56" s="4"/>
      <c r="C56" s="23"/>
      <c r="D56" s="23"/>
      <c r="E56" s="23"/>
      <c r="F56" s="23"/>
      <c r="G56" s="23"/>
      <c r="H56" s="23"/>
      <c r="I56" s="23"/>
      <c r="J56" s="23"/>
      <c r="K56" s="23"/>
      <c r="L56" s="23"/>
      <c r="M56" s="23"/>
      <c r="N56" s="27"/>
      <c r="O56" s="23"/>
      <c r="P56" s="23"/>
      <c r="Q56" s="27"/>
      <c r="R56" s="27"/>
      <c r="S56" s="27"/>
    </row>
    <row r="57" spans="1:19" x14ac:dyDescent="0.25">
      <c r="A57" s="876"/>
      <c r="B57" s="4"/>
      <c r="C57" s="23"/>
      <c r="D57" s="23"/>
      <c r="E57" s="23"/>
      <c r="F57" s="23"/>
      <c r="G57" s="23"/>
      <c r="H57" s="23"/>
      <c r="I57" s="23"/>
      <c r="J57" s="23"/>
      <c r="K57" s="23"/>
      <c r="L57" s="23"/>
      <c r="M57" s="23"/>
      <c r="N57" s="27"/>
      <c r="O57" s="23"/>
      <c r="P57" s="23"/>
      <c r="Q57" s="27"/>
      <c r="R57" s="27"/>
      <c r="S57" s="27"/>
    </row>
    <row r="58" spans="1:19" x14ac:dyDescent="0.25">
      <c r="A58" s="876"/>
      <c r="B58" s="4"/>
      <c r="C58" s="23"/>
      <c r="D58" s="23"/>
      <c r="E58" s="23"/>
      <c r="F58" s="23"/>
      <c r="G58" s="23"/>
      <c r="H58" s="23"/>
      <c r="I58" s="23"/>
      <c r="J58" s="23"/>
      <c r="K58" s="23"/>
      <c r="L58" s="23"/>
      <c r="M58" s="23"/>
      <c r="N58" s="27"/>
      <c r="O58" s="23"/>
      <c r="P58" s="23"/>
      <c r="Q58" s="27"/>
      <c r="R58" s="27"/>
      <c r="S58" s="27"/>
    </row>
    <row r="59" spans="1:19" x14ac:dyDescent="0.25">
      <c r="A59" s="876"/>
      <c r="B59" s="4"/>
      <c r="C59" s="23"/>
      <c r="D59" s="23"/>
      <c r="E59" s="23"/>
      <c r="F59" s="23"/>
      <c r="G59" s="23"/>
      <c r="H59" s="23"/>
      <c r="I59" s="23"/>
      <c r="J59" s="23"/>
      <c r="K59" s="23"/>
      <c r="L59" s="23"/>
      <c r="M59" s="23"/>
      <c r="N59" s="27"/>
      <c r="O59" s="23"/>
      <c r="P59" s="23"/>
      <c r="Q59" s="27"/>
      <c r="R59" s="27"/>
      <c r="S59" s="27"/>
    </row>
    <row r="60" spans="1:19" x14ac:dyDescent="0.25">
      <c r="A60" s="876"/>
      <c r="B60" s="4"/>
      <c r="C60" s="23"/>
      <c r="D60" s="23"/>
      <c r="E60" s="23"/>
      <c r="F60" s="23"/>
      <c r="G60" s="23"/>
      <c r="H60" s="23"/>
      <c r="I60" s="23"/>
      <c r="J60" s="23"/>
      <c r="K60" s="23"/>
      <c r="L60" s="23"/>
      <c r="M60" s="23"/>
      <c r="N60" s="27"/>
      <c r="O60" s="23"/>
      <c r="P60" s="23"/>
      <c r="Q60" s="27"/>
      <c r="R60" s="27"/>
      <c r="S60" s="27"/>
    </row>
    <row r="61" spans="1:19" x14ac:dyDescent="0.25">
      <c r="A61" s="876"/>
      <c r="B61" s="4"/>
      <c r="C61" s="23"/>
      <c r="D61" s="23"/>
      <c r="E61" s="23"/>
      <c r="F61" s="23"/>
      <c r="G61" s="23"/>
      <c r="H61" s="23"/>
      <c r="I61" s="23"/>
      <c r="J61" s="23"/>
      <c r="K61" s="23"/>
      <c r="L61" s="23"/>
      <c r="M61" s="23"/>
      <c r="N61" s="27"/>
      <c r="O61" s="23"/>
      <c r="P61" s="23"/>
      <c r="Q61" s="27"/>
      <c r="R61" s="27"/>
      <c r="S61" s="27"/>
    </row>
    <row r="62" spans="1:19" x14ac:dyDescent="0.25">
      <c r="A62" s="876"/>
      <c r="B62" s="4"/>
      <c r="C62" s="23"/>
      <c r="D62" s="23"/>
      <c r="E62" s="23"/>
      <c r="F62" s="23"/>
      <c r="G62" s="23"/>
      <c r="H62" s="23"/>
      <c r="I62" s="23"/>
      <c r="J62" s="23"/>
      <c r="K62" s="23"/>
      <c r="L62" s="23"/>
      <c r="M62" s="23"/>
      <c r="N62" s="4"/>
      <c r="O62" s="23"/>
      <c r="P62" s="23"/>
      <c r="Q62" s="4"/>
      <c r="R62" s="4"/>
      <c r="S62" s="4"/>
    </row>
    <row r="63" spans="1:19" x14ac:dyDescent="0.25">
      <c r="A63" s="876"/>
      <c r="B63" s="4"/>
      <c r="C63" s="23"/>
      <c r="D63" s="23"/>
      <c r="E63" s="23"/>
      <c r="F63" s="23"/>
      <c r="G63" s="23"/>
      <c r="H63" s="23"/>
      <c r="I63" s="23"/>
      <c r="J63" s="23"/>
      <c r="K63" s="23"/>
      <c r="L63" s="23"/>
      <c r="M63" s="23"/>
      <c r="N63" s="4"/>
      <c r="O63" s="23"/>
      <c r="P63" s="23"/>
      <c r="Q63" s="4"/>
      <c r="R63" s="4"/>
      <c r="S63" s="4"/>
    </row>
    <row r="64" spans="1:19" x14ac:dyDescent="0.25">
      <c r="A64" s="876"/>
      <c r="B64" s="4"/>
      <c r="C64" s="23"/>
      <c r="D64" s="23"/>
      <c r="E64" s="23"/>
      <c r="F64" s="23"/>
      <c r="G64" s="23"/>
      <c r="H64" s="23"/>
      <c r="I64" s="23"/>
      <c r="J64" s="23"/>
      <c r="K64" s="23"/>
      <c r="L64" s="23"/>
      <c r="M64" s="23"/>
      <c r="N64" s="4"/>
      <c r="O64" s="23"/>
      <c r="P64" s="23"/>
      <c r="Q64" s="4"/>
      <c r="R64" s="4"/>
      <c r="S64" s="4"/>
    </row>
    <row r="65" spans="1:19" x14ac:dyDescent="0.25">
      <c r="A65" s="876"/>
      <c r="B65" s="4"/>
      <c r="C65" s="23"/>
      <c r="D65" s="23"/>
      <c r="E65" s="23"/>
      <c r="F65" s="23"/>
      <c r="G65" s="23"/>
      <c r="H65" s="23"/>
      <c r="I65" s="23"/>
      <c r="J65" s="23"/>
      <c r="K65" s="23"/>
      <c r="L65" s="23"/>
      <c r="M65" s="23"/>
      <c r="N65" s="4"/>
      <c r="O65" s="23"/>
      <c r="P65" s="23"/>
      <c r="Q65" s="4"/>
      <c r="R65" s="4"/>
      <c r="S65" s="4"/>
    </row>
    <row r="66" spans="1:19" x14ac:dyDescent="0.25">
      <c r="A66" s="876"/>
      <c r="B66" s="4"/>
      <c r="C66" s="23"/>
      <c r="D66" s="23"/>
      <c r="E66" s="23"/>
      <c r="F66" s="23"/>
      <c r="G66" s="23"/>
      <c r="H66" s="23"/>
      <c r="I66" s="23"/>
      <c r="J66" s="23"/>
      <c r="K66" s="23"/>
      <c r="L66" s="23"/>
      <c r="M66" s="23"/>
      <c r="N66" s="4"/>
      <c r="O66" s="23"/>
      <c r="P66" s="23"/>
      <c r="Q66" s="4"/>
      <c r="R66" s="4"/>
      <c r="S66" s="4"/>
    </row>
    <row r="67" spans="1:19" x14ac:dyDescent="0.25">
      <c r="A67" s="876"/>
      <c r="B67" s="4"/>
      <c r="C67" s="23"/>
      <c r="D67" s="23"/>
      <c r="E67" s="23"/>
      <c r="F67" s="23"/>
      <c r="G67" s="23"/>
      <c r="H67" s="23"/>
      <c r="I67" s="23"/>
      <c r="J67" s="23"/>
      <c r="K67" s="23"/>
      <c r="L67" s="23"/>
      <c r="M67" s="23"/>
      <c r="N67" s="4"/>
      <c r="O67" s="23"/>
      <c r="P67" s="23"/>
      <c r="Q67" s="4"/>
      <c r="R67" s="4"/>
      <c r="S67" s="4"/>
    </row>
    <row r="68" spans="1:19" x14ac:dyDescent="0.25">
      <c r="A68" s="876"/>
      <c r="B68" s="4"/>
      <c r="C68" s="23"/>
      <c r="D68" s="23"/>
      <c r="E68" s="23"/>
      <c r="F68" s="23"/>
      <c r="G68" s="23"/>
      <c r="H68" s="23"/>
      <c r="I68" s="23"/>
      <c r="J68" s="23"/>
      <c r="K68" s="23"/>
      <c r="L68" s="23"/>
      <c r="M68" s="23"/>
      <c r="N68" s="4"/>
      <c r="O68" s="23"/>
      <c r="P68" s="23"/>
      <c r="Q68" s="4"/>
      <c r="R68" s="4"/>
      <c r="S68" s="4"/>
    </row>
    <row r="69" spans="1:19" x14ac:dyDescent="0.25">
      <c r="A69" s="876"/>
      <c r="B69" s="4"/>
      <c r="C69" s="23"/>
      <c r="D69" s="23"/>
      <c r="E69" s="23"/>
      <c r="F69" s="23"/>
      <c r="G69" s="23"/>
      <c r="H69" s="23"/>
      <c r="I69" s="23"/>
      <c r="J69" s="23"/>
      <c r="K69" s="23"/>
      <c r="L69" s="23"/>
      <c r="M69" s="23"/>
      <c r="N69" s="4"/>
      <c r="O69" s="23"/>
      <c r="P69" s="23"/>
      <c r="Q69" s="4"/>
      <c r="R69" s="4"/>
      <c r="S69" s="4"/>
    </row>
    <row r="70" spans="1:19" x14ac:dyDescent="0.25">
      <c r="A70" s="876"/>
      <c r="B70" s="4"/>
      <c r="C70" s="23"/>
      <c r="D70" s="23"/>
      <c r="E70" s="23"/>
      <c r="F70" s="23"/>
      <c r="G70" s="23"/>
      <c r="H70" s="23"/>
      <c r="I70" s="23"/>
      <c r="J70" s="23"/>
      <c r="K70" s="23"/>
      <c r="L70" s="23"/>
      <c r="M70" s="23"/>
      <c r="N70" s="4"/>
      <c r="O70" s="23"/>
      <c r="P70" s="23"/>
      <c r="Q70" s="4"/>
      <c r="R70" s="4"/>
      <c r="S70" s="4"/>
    </row>
    <row r="71" spans="1:19" x14ac:dyDescent="0.25">
      <c r="A71" s="876"/>
      <c r="B71" s="4"/>
      <c r="C71" s="23"/>
      <c r="D71" s="23"/>
      <c r="E71" s="23"/>
      <c r="F71" s="23"/>
      <c r="G71" s="23"/>
      <c r="H71" s="23"/>
      <c r="I71" s="23"/>
      <c r="J71" s="23"/>
      <c r="K71" s="23"/>
      <c r="L71" s="23"/>
      <c r="M71" s="23"/>
      <c r="N71" s="4"/>
      <c r="O71" s="23"/>
      <c r="P71" s="23"/>
      <c r="Q71" s="4"/>
      <c r="R71" s="4"/>
      <c r="S71" s="4"/>
    </row>
    <row r="72" spans="1:19" x14ac:dyDescent="0.25">
      <c r="A72" s="876"/>
      <c r="B72" s="4"/>
      <c r="C72" s="23"/>
      <c r="D72" s="23"/>
      <c r="E72" s="23"/>
      <c r="F72" s="23"/>
      <c r="G72" s="23"/>
      <c r="H72" s="23"/>
      <c r="I72" s="23"/>
      <c r="J72" s="23"/>
      <c r="K72" s="23"/>
      <c r="L72" s="23"/>
      <c r="M72" s="23"/>
      <c r="N72" s="4"/>
      <c r="O72" s="23"/>
      <c r="P72" s="23"/>
      <c r="Q72" s="4"/>
      <c r="R72" s="4"/>
      <c r="S72" s="4"/>
    </row>
    <row r="73" spans="1:19" x14ac:dyDescent="0.25">
      <c r="A73" s="876"/>
      <c r="B73" s="4"/>
      <c r="C73" s="23"/>
      <c r="D73" s="23"/>
      <c r="E73" s="23"/>
      <c r="F73" s="23"/>
      <c r="G73" s="23"/>
      <c r="H73" s="23"/>
      <c r="I73" s="23"/>
      <c r="J73" s="23"/>
      <c r="K73" s="23"/>
      <c r="L73" s="23"/>
      <c r="M73" s="23"/>
      <c r="N73" s="4"/>
      <c r="O73" s="23"/>
      <c r="P73" s="23"/>
      <c r="Q73" s="4"/>
      <c r="R73" s="4"/>
      <c r="S73" s="4"/>
    </row>
    <row r="74" spans="1:19" x14ac:dyDescent="0.25">
      <c r="A74" s="876"/>
      <c r="B74" s="4"/>
      <c r="C74" s="23"/>
      <c r="D74" s="23"/>
      <c r="E74" s="23"/>
      <c r="F74" s="23"/>
      <c r="G74" s="23"/>
      <c r="H74" s="23"/>
      <c r="I74" s="23"/>
      <c r="J74" s="23"/>
      <c r="K74" s="23"/>
      <c r="L74" s="23"/>
      <c r="M74" s="23"/>
      <c r="N74" s="4"/>
      <c r="O74" s="23"/>
      <c r="P74" s="23"/>
      <c r="Q74" s="4"/>
      <c r="R74" s="4"/>
      <c r="S74" s="4"/>
    </row>
    <row r="75" spans="1:19" x14ac:dyDescent="0.25">
      <c r="A75" s="876"/>
      <c r="B75" s="4"/>
      <c r="C75" s="23"/>
      <c r="D75" s="23"/>
      <c r="E75" s="23"/>
      <c r="F75" s="23"/>
      <c r="G75" s="23"/>
      <c r="H75" s="23"/>
      <c r="I75" s="23"/>
      <c r="J75" s="23"/>
      <c r="K75" s="23"/>
      <c r="L75" s="23"/>
      <c r="M75" s="23"/>
      <c r="N75" s="4"/>
      <c r="O75" s="23"/>
      <c r="P75" s="23"/>
      <c r="Q75" s="4"/>
      <c r="R75" s="4"/>
      <c r="S75" s="4"/>
    </row>
    <row r="76" spans="1:19" x14ac:dyDescent="0.25">
      <c r="A76" s="876"/>
      <c r="B76" s="4"/>
      <c r="C76" s="23"/>
      <c r="D76" s="23"/>
      <c r="E76" s="23"/>
      <c r="F76" s="23"/>
      <c r="G76" s="23"/>
      <c r="H76" s="23"/>
      <c r="I76" s="23"/>
      <c r="J76" s="23"/>
      <c r="K76" s="23"/>
      <c r="L76" s="23"/>
      <c r="M76" s="23"/>
      <c r="N76" s="4"/>
      <c r="O76" s="23"/>
      <c r="P76" s="23"/>
      <c r="Q76" s="4"/>
      <c r="R76" s="4"/>
      <c r="S76" s="4"/>
    </row>
    <row r="77" spans="1:19" x14ac:dyDescent="0.25">
      <c r="A77" s="876"/>
      <c r="B77" s="4"/>
      <c r="C77" s="23"/>
      <c r="D77" s="23"/>
      <c r="E77" s="23"/>
      <c r="F77" s="23"/>
      <c r="G77" s="23"/>
      <c r="H77" s="23"/>
      <c r="I77" s="23"/>
      <c r="J77" s="23"/>
      <c r="K77" s="23"/>
      <c r="L77" s="23"/>
      <c r="M77" s="23"/>
      <c r="N77" s="4"/>
      <c r="O77" s="23"/>
      <c r="P77" s="23"/>
      <c r="Q77" s="4"/>
      <c r="R77" s="4"/>
      <c r="S77" s="4"/>
    </row>
    <row r="78" spans="1:19" x14ac:dyDescent="0.25">
      <c r="A78" s="876"/>
      <c r="B78" s="4"/>
      <c r="C78" s="23"/>
      <c r="D78" s="23"/>
      <c r="E78" s="23"/>
      <c r="F78" s="23"/>
      <c r="G78" s="23"/>
      <c r="H78" s="23"/>
      <c r="I78" s="23"/>
      <c r="J78" s="23"/>
      <c r="K78" s="23"/>
      <c r="L78" s="23"/>
      <c r="M78" s="23"/>
      <c r="N78" s="4"/>
      <c r="O78" s="23"/>
      <c r="P78" s="23"/>
      <c r="Q78" s="4"/>
      <c r="R78" s="4"/>
      <c r="S78" s="4"/>
    </row>
    <row r="79" spans="1:19" x14ac:dyDescent="0.25">
      <c r="A79" s="876"/>
      <c r="B79" s="4"/>
      <c r="C79" s="23"/>
      <c r="D79" s="23"/>
      <c r="E79" s="23"/>
      <c r="F79" s="23"/>
      <c r="G79" s="23"/>
      <c r="H79" s="23"/>
      <c r="I79" s="23"/>
      <c r="J79" s="23"/>
      <c r="K79" s="23"/>
      <c r="L79" s="23"/>
      <c r="M79" s="23"/>
      <c r="N79" s="4"/>
      <c r="O79" s="23"/>
      <c r="P79" s="23"/>
      <c r="Q79" s="4"/>
      <c r="R79" s="4"/>
      <c r="S79" s="4"/>
    </row>
    <row r="80" spans="1:19" x14ac:dyDescent="0.25">
      <c r="A80" s="876"/>
      <c r="B80" s="4"/>
      <c r="C80" s="23"/>
      <c r="D80" s="23"/>
      <c r="E80" s="23"/>
      <c r="F80" s="23"/>
      <c r="G80" s="23"/>
      <c r="H80" s="23"/>
      <c r="I80" s="23"/>
      <c r="J80" s="23"/>
      <c r="K80" s="23"/>
      <c r="L80" s="23"/>
      <c r="M80" s="23"/>
      <c r="N80" s="4"/>
      <c r="O80" s="23"/>
      <c r="P80" s="23"/>
      <c r="Q80" s="4"/>
      <c r="R80" s="4"/>
      <c r="S80" s="4"/>
    </row>
    <row r="81" spans="1:19" x14ac:dyDescent="0.25">
      <c r="A81" s="876"/>
      <c r="B81" s="4"/>
      <c r="C81" s="23"/>
      <c r="D81" s="23"/>
      <c r="E81" s="23"/>
      <c r="F81" s="23"/>
      <c r="G81" s="23"/>
      <c r="H81" s="23"/>
      <c r="I81" s="23"/>
      <c r="J81" s="23"/>
      <c r="K81" s="23"/>
      <c r="L81" s="23"/>
      <c r="M81" s="23"/>
      <c r="N81" s="4"/>
      <c r="O81" s="23"/>
      <c r="P81" s="23"/>
      <c r="Q81" s="4"/>
      <c r="R81" s="4"/>
      <c r="S81" s="4"/>
    </row>
    <row r="82" spans="1:19" x14ac:dyDescent="0.25">
      <c r="A82" s="876"/>
      <c r="B82" s="4"/>
      <c r="C82" s="23"/>
      <c r="D82" s="23"/>
      <c r="E82" s="23"/>
      <c r="F82" s="23"/>
      <c r="G82" s="23"/>
      <c r="H82" s="23"/>
      <c r="I82" s="23"/>
      <c r="J82" s="23"/>
      <c r="K82" s="23"/>
      <c r="L82" s="23"/>
      <c r="M82" s="23"/>
      <c r="N82" s="4"/>
      <c r="O82" s="23"/>
      <c r="P82" s="23"/>
      <c r="Q82" s="4"/>
      <c r="R82" s="4"/>
      <c r="S82" s="4"/>
    </row>
    <row r="83" spans="1:19" x14ac:dyDescent="0.25">
      <c r="A83" s="876"/>
      <c r="B83" s="4"/>
      <c r="C83" s="23"/>
      <c r="D83" s="23"/>
      <c r="E83" s="23"/>
      <c r="F83" s="23"/>
      <c r="G83" s="23"/>
      <c r="H83" s="23"/>
      <c r="I83" s="23"/>
      <c r="J83" s="23"/>
      <c r="K83" s="23"/>
      <c r="L83" s="23"/>
      <c r="M83" s="23"/>
      <c r="N83" s="4"/>
      <c r="O83" s="23"/>
      <c r="P83" s="23"/>
      <c r="Q83" s="4"/>
      <c r="R83" s="4"/>
      <c r="S83" s="4"/>
    </row>
    <row r="84" spans="1:19" x14ac:dyDescent="0.25">
      <c r="A84" s="876"/>
      <c r="B84" s="4"/>
      <c r="C84" s="23"/>
      <c r="D84" s="23"/>
      <c r="E84" s="23"/>
      <c r="F84" s="23"/>
      <c r="G84" s="23"/>
      <c r="H84" s="23"/>
      <c r="I84" s="23"/>
      <c r="J84" s="23"/>
      <c r="K84" s="23"/>
      <c r="L84" s="23"/>
      <c r="M84" s="23"/>
      <c r="N84" s="4"/>
      <c r="O84" s="23"/>
      <c r="P84" s="23"/>
      <c r="Q84" s="4"/>
      <c r="R84" s="4"/>
      <c r="S84" s="4"/>
    </row>
    <row r="85" spans="1:19" x14ac:dyDescent="0.25">
      <c r="A85" s="876"/>
      <c r="B85" s="4"/>
      <c r="C85" s="23"/>
      <c r="D85" s="23"/>
      <c r="E85" s="23"/>
      <c r="F85" s="23"/>
      <c r="G85" s="23"/>
      <c r="H85" s="23"/>
      <c r="I85" s="23"/>
      <c r="J85" s="23"/>
      <c r="K85" s="23"/>
      <c r="L85" s="23"/>
      <c r="M85" s="23"/>
      <c r="N85" s="4"/>
      <c r="O85" s="23"/>
      <c r="P85" s="23"/>
      <c r="Q85" s="4"/>
      <c r="R85" s="4"/>
      <c r="S85" s="4"/>
    </row>
    <row r="86" spans="1:19" x14ac:dyDescent="0.25">
      <c r="A86" s="876"/>
      <c r="B86" s="4"/>
      <c r="C86" s="23"/>
      <c r="D86" s="23"/>
      <c r="E86" s="23"/>
      <c r="F86" s="23"/>
      <c r="G86" s="23"/>
      <c r="H86" s="23"/>
      <c r="I86" s="23"/>
      <c r="J86" s="23"/>
      <c r="K86" s="23"/>
      <c r="L86" s="23"/>
      <c r="M86" s="23"/>
      <c r="N86" s="4"/>
      <c r="O86" s="23"/>
      <c r="P86" s="23"/>
      <c r="Q86" s="4"/>
      <c r="R86" s="4"/>
      <c r="S86" s="4"/>
    </row>
    <row r="87" spans="1:19" x14ac:dyDescent="0.25">
      <c r="A87" s="876"/>
      <c r="B87" s="4"/>
      <c r="C87" s="23"/>
      <c r="D87" s="23"/>
      <c r="E87" s="23"/>
      <c r="F87" s="23"/>
      <c r="G87" s="23"/>
      <c r="H87" s="23"/>
      <c r="I87" s="23"/>
      <c r="J87" s="23"/>
      <c r="K87" s="23"/>
      <c r="L87" s="23"/>
      <c r="M87" s="23"/>
      <c r="N87" s="4"/>
      <c r="O87" s="23"/>
      <c r="P87" s="23"/>
      <c r="Q87" s="4"/>
      <c r="R87" s="4"/>
      <c r="S87" s="4"/>
    </row>
    <row r="88" spans="1:19" x14ac:dyDescent="0.25">
      <c r="A88" s="876"/>
      <c r="B88" s="4"/>
      <c r="C88" s="23"/>
      <c r="D88" s="23"/>
      <c r="E88" s="23"/>
      <c r="F88" s="23"/>
      <c r="G88" s="23"/>
      <c r="H88" s="23"/>
      <c r="I88" s="23"/>
      <c r="J88" s="23"/>
      <c r="K88" s="23"/>
      <c r="L88" s="23"/>
      <c r="M88" s="23"/>
      <c r="N88" s="4"/>
      <c r="O88" s="23"/>
      <c r="P88" s="23"/>
      <c r="Q88" s="4"/>
      <c r="R88" s="4"/>
      <c r="S88" s="4"/>
    </row>
    <row r="89" spans="1:19" x14ac:dyDescent="0.25">
      <c r="A89" s="876"/>
      <c r="B89" s="4"/>
      <c r="C89" s="23"/>
      <c r="D89" s="23"/>
      <c r="E89" s="23"/>
      <c r="F89" s="23"/>
      <c r="G89" s="23"/>
      <c r="H89" s="23"/>
      <c r="I89" s="23"/>
      <c r="J89" s="23"/>
      <c r="K89" s="23"/>
      <c r="L89" s="23"/>
      <c r="M89" s="23"/>
      <c r="N89" s="4"/>
      <c r="O89" s="23"/>
      <c r="P89" s="23"/>
      <c r="Q89" s="4"/>
      <c r="R89" s="4"/>
      <c r="S89" s="4"/>
    </row>
    <row r="90" spans="1:19" x14ac:dyDescent="0.25">
      <c r="A90" s="876"/>
      <c r="B90" s="4"/>
      <c r="C90" s="23"/>
      <c r="D90" s="23"/>
      <c r="E90" s="23"/>
      <c r="F90" s="23"/>
      <c r="G90" s="23"/>
      <c r="H90" s="23"/>
      <c r="I90" s="23"/>
      <c r="J90" s="23"/>
      <c r="K90" s="23"/>
      <c r="L90" s="23"/>
      <c r="M90" s="23"/>
      <c r="N90" s="4"/>
      <c r="O90" s="23"/>
      <c r="P90" s="23"/>
      <c r="Q90" s="4"/>
      <c r="R90" s="4"/>
      <c r="S90" s="4"/>
    </row>
    <row r="91" spans="1:19" x14ac:dyDescent="0.25">
      <c r="A91" s="876"/>
      <c r="B91" s="4"/>
      <c r="C91" s="23"/>
      <c r="D91" s="23"/>
      <c r="E91" s="23"/>
      <c r="F91" s="23"/>
      <c r="G91" s="23"/>
      <c r="H91" s="23"/>
      <c r="I91" s="23"/>
      <c r="J91" s="23"/>
      <c r="K91" s="23"/>
      <c r="L91" s="23"/>
      <c r="M91" s="23"/>
      <c r="N91" s="4"/>
      <c r="O91" s="23"/>
      <c r="P91" s="23"/>
      <c r="Q91" s="4"/>
      <c r="R91" s="4"/>
      <c r="S91" s="4"/>
    </row>
    <row r="92" spans="1:19" x14ac:dyDescent="0.25">
      <c r="A92" s="876"/>
      <c r="B92" s="4"/>
      <c r="C92" s="23"/>
      <c r="D92" s="23"/>
      <c r="E92" s="23"/>
      <c r="F92" s="23"/>
      <c r="G92" s="23"/>
      <c r="H92" s="23"/>
      <c r="I92" s="23"/>
      <c r="J92" s="23"/>
      <c r="K92" s="23"/>
      <c r="L92" s="23"/>
      <c r="M92" s="23"/>
      <c r="N92" s="4"/>
      <c r="O92" s="23"/>
      <c r="P92" s="23"/>
      <c r="Q92" s="4"/>
      <c r="R92" s="4"/>
      <c r="S92" s="4"/>
    </row>
    <row r="93" spans="1:19" x14ac:dyDescent="0.25">
      <c r="A93" s="876"/>
      <c r="B93" s="4"/>
      <c r="C93" s="23"/>
      <c r="D93" s="23"/>
      <c r="E93" s="23"/>
      <c r="F93" s="23"/>
      <c r="G93" s="23"/>
      <c r="H93" s="23"/>
      <c r="I93" s="23"/>
      <c r="J93" s="23"/>
      <c r="K93" s="23"/>
      <c r="L93" s="23"/>
      <c r="M93" s="23"/>
      <c r="N93" s="4"/>
      <c r="O93" s="23"/>
      <c r="P93" s="23"/>
      <c r="Q93" s="4"/>
      <c r="R93" s="4"/>
      <c r="S93" s="4"/>
    </row>
    <row r="94" spans="1:19" x14ac:dyDescent="0.25">
      <c r="A94" s="876"/>
      <c r="B94" s="4"/>
      <c r="C94" s="23"/>
      <c r="D94" s="23"/>
      <c r="E94" s="23"/>
      <c r="F94" s="23"/>
      <c r="G94" s="23"/>
      <c r="H94" s="23"/>
      <c r="I94" s="23"/>
      <c r="J94" s="23"/>
      <c r="K94" s="23"/>
      <c r="L94" s="23"/>
      <c r="M94" s="23"/>
      <c r="N94" s="4"/>
      <c r="O94" s="23"/>
      <c r="P94" s="23"/>
      <c r="Q94" s="4"/>
      <c r="R94" s="4"/>
      <c r="S94" s="4"/>
    </row>
    <row r="95" spans="1:19" x14ac:dyDescent="0.25">
      <c r="A95" s="876"/>
      <c r="B95" s="4"/>
      <c r="C95" s="23"/>
      <c r="D95" s="23"/>
      <c r="E95" s="23"/>
      <c r="F95" s="23"/>
      <c r="G95" s="23"/>
      <c r="H95" s="23"/>
      <c r="I95" s="23"/>
      <c r="J95" s="23"/>
      <c r="K95" s="23"/>
      <c r="L95" s="23"/>
      <c r="M95" s="23"/>
      <c r="N95" s="4"/>
      <c r="O95" s="23"/>
      <c r="P95" s="23"/>
      <c r="Q95" s="4"/>
      <c r="R95" s="4"/>
      <c r="S95" s="4"/>
    </row>
    <row r="96" spans="1:19" x14ac:dyDescent="0.25">
      <c r="A96" s="876"/>
      <c r="B96" s="4"/>
      <c r="C96" s="23"/>
      <c r="D96" s="23"/>
      <c r="E96" s="23"/>
      <c r="F96" s="23"/>
      <c r="G96" s="23"/>
      <c r="H96" s="23"/>
      <c r="I96" s="23"/>
      <c r="J96" s="23"/>
      <c r="K96" s="23"/>
      <c r="L96" s="23"/>
      <c r="M96" s="23"/>
      <c r="N96" s="4"/>
      <c r="O96" s="23"/>
      <c r="P96" s="23"/>
      <c r="Q96" s="4"/>
      <c r="R96" s="4"/>
      <c r="S96" s="4"/>
    </row>
    <row r="97" spans="1:19" x14ac:dyDescent="0.25">
      <c r="A97" s="876"/>
      <c r="B97" s="4"/>
      <c r="C97" s="23"/>
      <c r="D97" s="23"/>
      <c r="E97" s="23"/>
      <c r="F97" s="23"/>
      <c r="G97" s="23"/>
      <c r="H97" s="23"/>
      <c r="I97" s="23"/>
      <c r="J97" s="23"/>
      <c r="K97" s="23"/>
      <c r="L97" s="23"/>
      <c r="M97" s="23"/>
      <c r="N97" s="4"/>
      <c r="O97" s="23"/>
      <c r="P97" s="23"/>
      <c r="Q97" s="4"/>
      <c r="R97" s="4"/>
      <c r="S97" s="4"/>
    </row>
    <row r="98" spans="1:19" x14ac:dyDescent="0.25">
      <c r="A98" s="876"/>
      <c r="B98" s="4"/>
      <c r="C98" s="23"/>
      <c r="D98" s="23"/>
      <c r="E98" s="23"/>
      <c r="F98" s="23"/>
      <c r="G98" s="23"/>
      <c r="H98" s="23"/>
      <c r="I98" s="23"/>
      <c r="J98" s="23"/>
      <c r="K98" s="23"/>
      <c r="L98" s="23"/>
      <c r="M98" s="23"/>
      <c r="N98" s="4"/>
      <c r="O98" s="23"/>
      <c r="P98" s="23"/>
      <c r="Q98" s="4"/>
      <c r="R98" s="4"/>
      <c r="S98" s="4"/>
    </row>
    <row r="99" spans="1:19" x14ac:dyDescent="0.25">
      <c r="A99" s="876"/>
      <c r="B99" s="4"/>
      <c r="C99" s="23"/>
      <c r="D99" s="23"/>
      <c r="E99" s="23"/>
      <c r="F99" s="23"/>
      <c r="G99" s="23"/>
      <c r="H99" s="23"/>
      <c r="I99" s="23"/>
      <c r="J99" s="23"/>
      <c r="K99" s="23"/>
      <c r="L99" s="23"/>
      <c r="M99" s="23"/>
      <c r="N99" s="4"/>
      <c r="O99" s="23"/>
      <c r="P99" s="23"/>
      <c r="Q99" s="4"/>
      <c r="R99" s="4"/>
      <c r="S99" s="4"/>
    </row>
    <row r="100" spans="1:19" x14ac:dyDescent="0.25">
      <c r="A100" s="876"/>
      <c r="B100" s="4"/>
      <c r="C100" s="23"/>
      <c r="D100" s="23"/>
      <c r="E100" s="23"/>
      <c r="F100" s="23"/>
      <c r="G100" s="23"/>
      <c r="H100" s="23"/>
      <c r="I100" s="23"/>
      <c r="J100" s="23"/>
      <c r="K100" s="23"/>
      <c r="L100" s="23"/>
      <c r="M100" s="23"/>
      <c r="N100" s="4"/>
      <c r="O100" s="23"/>
      <c r="P100" s="23"/>
      <c r="Q100" s="4"/>
      <c r="R100" s="4"/>
      <c r="S100" s="4"/>
    </row>
    <row r="101" spans="1:19" x14ac:dyDescent="0.25">
      <c r="A101" s="876"/>
      <c r="B101" s="4"/>
      <c r="C101" s="23"/>
      <c r="D101" s="23"/>
      <c r="E101" s="23"/>
      <c r="F101" s="23"/>
      <c r="G101" s="23"/>
      <c r="H101" s="23"/>
      <c r="I101" s="23"/>
      <c r="J101" s="23"/>
      <c r="K101" s="23"/>
      <c r="L101" s="23"/>
      <c r="M101" s="23"/>
      <c r="N101" s="4"/>
      <c r="O101" s="23"/>
      <c r="P101" s="23"/>
      <c r="Q101" s="4"/>
      <c r="R101" s="4"/>
      <c r="S101" s="4"/>
    </row>
    <row r="102" spans="1:19" x14ac:dyDescent="0.25">
      <c r="A102" s="876"/>
      <c r="B102" s="4"/>
      <c r="C102" s="23"/>
      <c r="D102" s="23"/>
      <c r="E102" s="23"/>
      <c r="F102" s="23"/>
      <c r="G102" s="23"/>
      <c r="H102" s="23"/>
      <c r="I102" s="23"/>
      <c r="J102" s="23"/>
      <c r="K102" s="23"/>
      <c r="L102" s="23"/>
      <c r="M102" s="23"/>
      <c r="N102" s="4"/>
      <c r="O102" s="23"/>
      <c r="P102" s="23"/>
      <c r="Q102" s="4"/>
      <c r="R102" s="4"/>
      <c r="S102" s="4"/>
    </row>
    <row r="103" spans="1:19" x14ac:dyDescent="0.25">
      <c r="A103" s="876"/>
      <c r="B103" s="4"/>
      <c r="C103" s="23"/>
      <c r="D103" s="23"/>
      <c r="E103" s="23"/>
      <c r="F103" s="23"/>
      <c r="G103" s="23"/>
      <c r="H103" s="23"/>
      <c r="I103" s="23"/>
      <c r="J103" s="23"/>
      <c r="K103" s="23"/>
      <c r="L103" s="23"/>
      <c r="M103" s="23"/>
      <c r="N103" s="4"/>
      <c r="O103" s="23"/>
      <c r="P103" s="23"/>
      <c r="Q103" s="4"/>
      <c r="R103" s="4"/>
      <c r="S103" s="4"/>
    </row>
    <row r="104" spans="1:19" x14ac:dyDescent="0.25">
      <c r="A104" s="876"/>
      <c r="B104" s="4"/>
      <c r="C104" s="23"/>
      <c r="D104" s="23"/>
      <c r="E104" s="23"/>
      <c r="F104" s="23"/>
      <c r="G104" s="23"/>
      <c r="H104" s="23"/>
      <c r="I104" s="23"/>
      <c r="J104" s="23"/>
      <c r="K104" s="23"/>
      <c r="L104" s="23"/>
      <c r="M104" s="23"/>
      <c r="N104" s="4"/>
      <c r="O104" s="23"/>
      <c r="P104" s="23"/>
      <c r="Q104" s="4"/>
      <c r="R104" s="4"/>
      <c r="S104" s="4"/>
    </row>
    <row r="105" spans="1:19" x14ac:dyDescent="0.25">
      <c r="A105" s="876"/>
      <c r="B105" s="4"/>
      <c r="C105" s="23"/>
      <c r="D105" s="23"/>
      <c r="E105" s="23"/>
      <c r="F105" s="23"/>
      <c r="G105" s="23"/>
      <c r="H105" s="23"/>
      <c r="I105" s="23"/>
      <c r="J105" s="23"/>
      <c r="K105" s="23"/>
      <c r="L105" s="23"/>
      <c r="M105" s="23"/>
      <c r="N105" s="4"/>
      <c r="O105" s="23"/>
      <c r="P105" s="23"/>
      <c r="Q105" s="4"/>
      <c r="R105" s="4"/>
      <c r="S105" s="4"/>
    </row>
    <row r="106" spans="1:19" x14ac:dyDescent="0.25">
      <c r="A106" s="876"/>
      <c r="B106" s="4"/>
      <c r="C106" s="23"/>
      <c r="D106" s="23"/>
      <c r="E106" s="23"/>
      <c r="F106" s="23"/>
      <c r="G106" s="23"/>
      <c r="H106" s="23"/>
      <c r="I106" s="23"/>
      <c r="J106" s="23"/>
      <c r="K106" s="23"/>
      <c r="L106" s="23"/>
      <c r="M106" s="23"/>
      <c r="N106" s="4"/>
      <c r="O106" s="23"/>
      <c r="P106" s="23"/>
      <c r="Q106" s="4"/>
      <c r="R106" s="4"/>
      <c r="S106" s="4"/>
    </row>
    <row r="107" spans="1:19" x14ac:dyDescent="0.25">
      <c r="A107" s="876"/>
      <c r="B107" s="4"/>
      <c r="C107" s="23"/>
      <c r="D107" s="23"/>
      <c r="E107" s="23"/>
      <c r="F107" s="23"/>
      <c r="G107" s="23"/>
      <c r="H107" s="23"/>
      <c r="I107" s="23"/>
      <c r="J107" s="23"/>
      <c r="K107" s="23"/>
      <c r="L107" s="23"/>
      <c r="M107" s="23"/>
      <c r="N107" s="4"/>
      <c r="O107" s="23"/>
      <c r="P107" s="23"/>
      <c r="Q107" s="4"/>
      <c r="R107" s="4"/>
      <c r="S107" s="4"/>
    </row>
    <row r="108" spans="1:19" x14ac:dyDescent="0.25">
      <c r="A108" s="876"/>
      <c r="B108" s="4"/>
      <c r="C108" s="23"/>
      <c r="D108" s="23"/>
      <c r="E108" s="23"/>
      <c r="F108" s="23"/>
      <c r="G108" s="23"/>
      <c r="H108" s="23"/>
      <c r="I108" s="23"/>
      <c r="J108" s="23"/>
      <c r="K108" s="23"/>
      <c r="L108" s="23"/>
      <c r="M108" s="23"/>
      <c r="N108" s="4"/>
      <c r="O108" s="23"/>
      <c r="P108" s="23"/>
      <c r="Q108" s="4"/>
      <c r="R108" s="4"/>
      <c r="S108" s="4"/>
    </row>
    <row r="109" spans="1:19" x14ac:dyDescent="0.25">
      <c r="A109" s="876"/>
      <c r="B109" s="4"/>
      <c r="C109" s="23"/>
      <c r="D109" s="23"/>
      <c r="E109" s="23"/>
      <c r="F109" s="23"/>
      <c r="G109" s="23"/>
      <c r="H109" s="23"/>
      <c r="I109" s="23"/>
      <c r="J109" s="23"/>
      <c r="K109" s="23"/>
      <c r="L109" s="23"/>
      <c r="M109" s="23"/>
      <c r="N109" s="4"/>
      <c r="O109" s="23"/>
      <c r="P109" s="23"/>
      <c r="Q109" s="4"/>
      <c r="R109" s="4"/>
      <c r="S109" s="4"/>
    </row>
    <row r="110" spans="1:19" x14ac:dyDescent="0.25">
      <c r="A110" s="876"/>
      <c r="B110" s="4"/>
      <c r="C110" s="23"/>
      <c r="D110" s="23"/>
      <c r="E110" s="23"/>
      <c r="F110" s="23"/>
      <c r="G110" s="23"/>
      <c r="H110" s="23"/>
      <c r="I110" s="23"/>
      <c r="J110" s="23"/>
      <c r="K110" s="23"/>
      <c r="L110" s="23"/>
      <c r="M110" s="23"/>
      <c r="N110" s="4"/>
      <c r="O110" s="23"/>
      <c r="P110" s="23"/>
      <c r="Q110" s="4"/>
      <c r="R110" s="4"/>
      <c r="S110" s="4"/>
    </row>
    <row r="111" spans="1:19" x14ac:dyDescent="0.25">
      <c r="A111" s="876"/>
      <c r="B111" s="4"/>
      <c r="C111" s="23"/>
      <c r="D111" s="23"/>
      <c r="E111" s="23"/>
      <c r="F111" s="23"/>
      <c r="G111" s="23"/>
      <c r="H111" s="23"/>
      <c r="I111" s="23"/>
      <c r="J111" s="23"/>
      <c r="K111" s="23"/>
      <c r="L111" s="23"/>
      <c r="M111" s="23"/>
      <c r="N111" s="4"/>
      <c r="O111" s="23"/>
      <c r="P111" s="23"/>
      <c r="Q111" s="4"/>
      <c r="R111" s="4"/>
      <c r="S111" s="4"/>
    </row>
    <row r="112" spans="1:19" x14ac:dyDescent="0.25">
      <c r="A112" s="876"/>
      <c r="B112" s="4"/>
      <c r="C112" s="23"/>
      <c r="D112" s="23"/>
      <c r="E112" s="23"/>
      <c r="F112" s="23"/>
      <c r="G112" s="23"/>
      <c r="H112" s="23"/>
      <c r="I112" s="23"/>
      <c r="J112" s="23"/>
      <c r="K112" s="23"/>
      <c r="L112" s="23"/>
      <c r="M112" s="23"/>
      <c r="N112" s="4"/>
      <c r="O112" s="23"/>
      <c r="P112" s="23"/>
      <c r="Q112" s="4"/>
      <c r="R112" s="4"/>
      <c r="S112" s="4"/>
    </row>
    <row r="113" spans="1:19" x14ac:dyDescent="0.25">
      <c r="A113" s="876"/>
      <c r="B113" s="4"/>
      <c r="C113" s="23"/>
      <c r="D113" s="23"/>
      <c r="E113" s="23"/>
      <c r="F113" s="23"/>
      <c r="G113" s="23"/>
      <c r="H113" s="23"/>
      <c r="I113" s="23"/>
      <c r="J113" s="23"/>
      <c r="K113" s="23"/>
      <c r="L113" s="23"/>
      <c r="M113" s="23"/>
      <c r="N113" s="4"/>
      <c r="O113" s="23"/>
      <c r="P113" s="23"/>
      <c r="Q113" s="4"/>
      <c r="R113" s="4"/>
      <c r="S113" s="4"/>
    </row>
    <row r="114" spans="1:19" x14ac:dyDescent="0.25">
      <c r="A114" s="876"/>
      <c r="B114" s="4"/>
      <c r="C114" s="23"/>
      <c r="D114" s="23"/>
      <c r="E114" s="23"/>
      <c r="F114" s="23"/>
      <c r="G114" s="23"/>
      <c r="H114" s="23"/>
      <c r="I114" s="23"/>
      <c r="J114" s="23"/>
      <c r="K114" s="23"/>
      <c r="L114" s="23"/>
      <c r="M114" s="23"/>
      <c r="N114" s="4"/>
      <c r="O114" s="23"/>
      <c r="P114" s="23"/>
      <c r="Q114" s="4"/>
      <c r="R114" s="4"/>
      <c r="S114" s="4"/>
    </row>
    <row r="115" spans="1:19" x14ac:dyDescent="0.25">
      <c r="A115" s="876"/>
      <c r="B115" s="4"/>
      <c r="C115" s="23"/>
      <c r="D115" s="23"/>
      <c r="E115" s="23"/>
      <c r="F115" s="23"/>
      <c r="G115" s="23"/>
      <c r="H115" s="23"/>
      <c r="I115" s="23"/>
      <c r="J115" s="23"/>
      <c r="K115" s="23"/>
      <c r="L115" s="23"/>
      <c r="M115" s="23"/>
      <c r="N115" s="4"/>
      <c r="O115" s="23"/>
      <c r="P115" s="23"/>
      <c r="Q115" s="4"/>
      <c r="R115" s="4"/>
      <c r="S115" s="4"/>
    </row>
    <row r="116" spans="1:19" x14ac:dyDescent="0.25">
      <c r="A116" s="876"/>
      <c r="B116" s="4"/>
      <c r="C116" s="23"/>
      <c r="D116" s="23"/>
      <c r="E116" s="23"/>
      <c r="F116" s="23"/>
      <c r="G116" s="23"/>
      <c r="H116" s="23"/>
      <c r="I116" s="23"/>
      <c r="J116" s="23"/>
      <c r="K116" s="23"/>
      <c r="L116" s="23"/>
      <c r="M116" s="23"/>
      <c r="N116" s="4"/>
      <c r="O116" s="23"/>
      <c r="P116" s="23"/>
      <c r="Q116" s="4"/>
      <c r="R116" s="4"/>
      <c r="S116" s="4"/>
    </row>
    <row r="117" spans="1:19" x14ac:dyDescent="0.25">
      <c r="A117" s="876"/>
      <c r="B117" s="4"/>
      <c r="C117" s="23"/>
      <c r="D117" s="23"/>
      <c r="E117" s="23"/>
      <c r="F117" s="23"/>
      <c r="G117" s="23"/>
      <c r="H117" s="23"/>
      <c r="I117" s="23"/>
      <c r="J117" s="23"/>
      <c r="K117" s="23"/>
      <c r="L117" s="23"/>
      <c r="M117" s="23"/>
      <c r="N117" s="4"/>
      <c r="O117" s="23"/>
      <c r="P117" s="23"/>
      <c r="Q117" s="4"/>
      <c r="R117" s="4"/>
      <c r="S117" s="4"/>
    </row>
    <row r="118" spans="1:19" x14ac:dyDescent="0.25">
      <c r="A118" s="876"/>
      <c r="B118" s="4"/>
      <c r="C118" s="23"/>
      <c r="D118" s="23"/>
      <c r="E118" s="23"/>
      <c r="F118" s="23"/>
      <c r="G118" s="23"/>
      <c r="H118" s="23"/>
      <c r="I118" s="23"/>
      <c r="J118" s="23"/>
      <c r="K118" s="23"/>
      <c r="L118" s="23"/>
      <c r="M118" s="23"/>
      <c r="N118" s="4"/>
      <c r="O118" s="23"/>
      <c r="P118" s="23"/>
      <c r="Q118" s="4"/>
      <c r="R118" s="4"/>
      <c r="S118" s="4"/>
    </row>
    <row r="119" spans="1:19" x14ac:dyDescent="0.25">
      <c r="A119" s="876"/>
      <c r="B119" s="4"/>
      <c r="C119" s="23"/>
      <c r="D119" s="23"/>
      <c r="E119" s="23"/>
      <c r="F119" s="23"/>
      <c r="G119" s="23"/>
      <c r="H119" s="23"/>
      <c r="I119" s="23"/>
      <c r="J119" s="23"/>
      <c r="K119" s="23"/>
      <c r="L119" s="23"/>
      <c r="M119" s="23"/>
      <c r="N119" s="4"/>
      <c r="O119" s="23"/>
      <c r="P119" s="23"/>
      <c r="Q119" s="4"/>
      <c r="R119" s="4"/>
      <c r="S119" s="4"/>
    </row>
    <row r="120" spans="1:19" x14ac:dyDescent="0.25">
      <c r="A120" s="876"/>
      <c r="B120" s="4"/>
      <c r="C120" s="23"/>
      <c r="D120" s="23"/>
      <c r="E120" s="23"/>
      <c r="F120" s="23"/>
      <c r="G120" s="23"/>
      <c r="H120" s="23"/>
      <c r="I120" s="23"/>
      <c r="J120" s="23"/>
      <c r="K120" s="23"/>
      <c r="L120" s="23"/>
      <c r="M120" s="23"/>
      <c r="N120" s="4"/>
      <c r="O120" s="23"/>
      <c r="P120" s="23"/>
      <c r="Q120" s="4"/>
      <c r="R120" s="4"/>
      <c r="S120" s="4"/>
    </row>
    <row r="121" spans="1:19" x14ac:dyDescent="0.25">
      <c r="A121" s="876"/>
      <c r="B121" s="4"/>
      <c r="C121" s="23"/>
      <c r="D121" s="23"/>
      <c r="E121" s="23"/>
      <c r="F121" s="23"/>
      <c r="G121" s="23"/>
      <c r="H121" s="23"/>
      <c r="I121" s="23"/>
      <c r="J121" s="23"/>
      <c r="K121" s="23"/>
      <c r="L121" s="23"/>
      <c r="M121" s="23"/>
      <c r="N121" s="4"/>
      <c r="O121" s="23"/>
      <c r="P121" s="23"/>
      <c r="Q121" s="4"/>
      <c r="R121" s="4"/>
      <c r="S121" s="4"/>
    </row>
    <row r="122" spans="1:19" x14ac:dyDescent="0.25">
      <c r="A122" s="876"/>
      <c r="B122" s="4"/>
      <c r="C122" s="23"/>
      <c r="D122" s="23"/>
      <c r="E122" s="23"/>
      <c r="F122" s="23"/>
      <c r="G122" s="23"/>
      <c r="H122" s="23"/>
      <c r="I122" s="23"/>
      <c r="J122" s="23"/>
      <c r="K122" s="23"/>
      <c r="L122" s="23"/>
      <c r="M122" s="23"/>
      <c r="N122" s="4"/>
      <c r="O122" s="23"/>
      <c r="P122" s="23"/>
      <c r="Q122" s="4"/>
      <c r="R122" s="4"/>
      <c r="S122" s="4"/>
    </row>
    <row r="123" spans="1:19" x14ac:dyDescent="0.25">
      <c r="A123" s="876"/>
      <c r="B123" s="4"/>
      <c r="C123" s="23"/>
      <c r="D123" s="23"/>
      <c r="E123" s="23"/>
      <c r="F123" s="23"/>
      <c r="G123" s="23"/>
      <c r="H123" s="23"/>
      <c r="I123" s="23"/>
      <c r="J123" s="23"/>
      <c r="K123" s="23"/>
      <c r="L123" s="23"/>
      <c r="M123" s="23"/>
      <c r="N123" s="4"/>
      <c r="O123" s="23"/>
      <c r="P123" s="23"/>
      <c r="Q123" s="4"/>
      <c r="R123" s="4"/>
      <c r="S123" s="4"/>
    </row>
    <row r="124" spans="1:19" x14ac:dyDescent="0.25">
      <c r="A124" s="876"/>
      <c r="B124" s="4"/>
      <c r="C124" s="23"/>
      <c r="D124" s="23"/>
      <c r="E124" s="23"/>
      <c r="F124" s="23"/>
      <c r="G124" s="23"/>
      <c r="H124" s="23"/>
      <c r="I124" s="23"/>
      <c r="J124" s="23"/>
      <c r="K124" s="23"/>
      <c r="L124" s="23"/>
      <c r="M124" s="23"/>
      <c r="N124" s="4"/>
      <c r="O124" s="23"/>
      <c r="P124" s="23"/>
      <c r="Q124" s="4"/>
      <c r="R124" s="4"/>
      <c r="S124" s="4"/>
    </row>
    <row r="125" spans="1:19" x14ac:dyDescent="0.25">
      <c r="A125" s="876"/>
      <c r="B125" s="4"/>
      <c r="C125" s="23"/>
      <c r="D125" s="23"/>
      <c r="E125" s="23"/>
      <c r="F125" s="23"/>
      <c r="G125" s="23"/>
      <c r="H125" s="23"/>
      <c r="I125" s="23"/>
      <c r="J125" s="23"/>
      <c r="K125" s="23"/>
      <c r="L125" s="23"/>
      <c r="M125" s="23"/>
      <c r="N125" s="4"/>
      <c r="O125" s="23"/>
      <c r="P125" s="23"/>
      <c r="Q125" s="4"/>
      <c r="R125" s="4"/>
      <c r="S125" s="4"/>
    </row>
    <row r="126" spans="1:19" x14ac:dyDescent="0.25">
      <c r="A126" s="876"/>
      <c r="B126" s="4"/>
      <c r="C126" s="23"/>
      <c r="D126" s="23"/>
      <c r="E126" s="23"/>
      <c r="F126" s="23"/>
      <c r="G126" s="23"/>
      <c r="H126" s="23"/>
      <c r="I126" s="23"/>
      <c r="J126" s="23"/>
      <c r="K126" s="23"/>
      <c r="L126" s="23"/>
      <c r="M126" s="23"/>
      <c r="N126" s="4"/>
      <c r="O126" s="23"/>
      <c r="P126" s="23"/>
      <c r="Q126" s="4"/>
      <c r="R126" s="4"/>
      <c r="S126" s="4"/>
    </row>
    <row r="127" spans="1:19" x14ac:dyDescent="0.25">
      <c r="A127" s="876"/>
      <c r="B127" s="4"/>
      <c r="C127" s="23"/>
      <c r="D127" s="23"/>
      <c r="E127" s="23"/>
      <c r="F127" s="23"/>
      <c r="G127" s="23"/>
      <c r="H127" s="23"/>
      <c r="I127" s="23"/>
      <c r="J127" s="23"/>
      <c r="K127" s="23"/>
      <c r="L127" s="23"/>
      <c r="M127" s="23"/>
      <c r="N127" s="4"/>
      <c r="O127" s="23"/>
      <c r="P127" s="23"/>
      <c r="Q127" s="4"/>
      <c r="R127" s="4"/>
      <c r="S127" s="4"/>
    </row>
    <row r="128" spans="1:19" x14ac:dyDescent="0.25">
      <c r="A128" s="876"/>
      <c r="B128" s="4"/>
      <c r="C128" s="23"/>
      <c r="D128" s="23"/>
      <c r="E128" s="23"/>
      <c r="F128" s="23"/>
      <c r="G128" s="23"/>
      <c r="H128" s="23"/>
      <c r="I128" s="23"/>
      <c r="J128" s="23"/>
      <c r="K128" s="23"/>
      <c r="L128" s="23"/>
      <c r="M128" s="23"/>
      <c r="N128" s="4"/>
      <c r="O128" s="23"/>
      <c r="P128" s="23"/>
      <c r="Q128" s="4"/>
      <c r="R128" s="4"/>
      <c r="S128" s="4"/>
    </row>
    <row r="129" spans="1:19" x14ac:dyDescent="0.25">
      <c r="A129" s="876"/>
      <c r="B129" s="4"/>
      <c r="C129" s="23"/>
      <c r="D129" s="23"/>
      <c r="E129" s="23"/>
      <c r="F129" s="23"/>
      <c r="G129" s="23"/>
      <c r="H129" s="23"/>
      <c r="I129" s="23"/>
      <c r="J129" s="23"/>
      <c r="K129" s="23"/>
      <c r="L129" s="23"/>
      <c r="M129" s="23"/>
      <c r="N129" s="4"/>
      <c r="O129" s="23"/>
      <c r="P129" s="23"/>
      <c r="Q129" s="4"/>
      <c r="R129" s="4"/>
      <c r="S129" s="4"/>
    </row>
    <row r="130" spans="1:19" x14ac:dyDescent="0.25">
      <c r="C130" s="114"/>
    </row>
    <row r="131" spans="1:19" x14ac:dyDescent="0.25">
      <c r="C131" s="114"/>
    </row>
    <row r="132" spans="1:19" x14ac:dyDescent="0.25">
      <c r="C132" s="114"/>
    </row>
    <row r="133" spans="1:19" x14ac:dyDescent="0.25">
      <c r="C133" s="114"/>
    </row>
    <row r="134" spans="1:19" x14ac:dyDescent="0.25">
      <c r="C134" s="114"/>
    </row>
    <row r="135" spans="1:19" x14ac:dyDescent="0.25">
      <c r="C135" s="114"/>
    </row>
    <row r="136" spans="1:19" x14ac:dyDescent="0.25">
      <c r="C136" s="114"/>
    </row>
    <row r="137" spans="1:19" x14ac:dyDescent="0.25">
      <c r="C137" s="114"/>
    </row>
    <row r="138" spans="1:19" x14ac:dyDescent="0.25">
      <c r="C138" s="114"/>
    </row>
    <row r="139" spans="1:19" x14ac:dyDescent="0.25">
      <c r="C139" s="114"/>
    </row>
    <row r="140" spans="1:19" x14ac:dyDescent="0.25">
      <c r="C140" s="114"/>
    </row>
    <row r="141" spans="1:19" x14ac:dyDescent="0.25">
      <c r="C141" s="114"/>
    </row>
    <row r="142" spans="1:19" x14ac:dyDescent="0.25">
      <c r="C142" s="114"/>
    </row>
    <row r="143" spans="1:19" x14ac:dyDescent="0.25">
      <c r="C143" s="114"/>
    </row>
    <row r="144" spans="1:19" x14ac:dyDescent="0.25">
      <c r="C144" s="114"/>
    </row>
    <row r="145" spans="3:3" x14ac:dyDescent="0.25">
      <c r="C145" s="114"/>
    </row>
    <row r="146" spans="3:3" x14ac:dyDescent="0.25">
      <c r="C146" s="114"/>
    </row>
    <row r="147" spans="3:3" x14ac:dyDescent="0.25">
      <c r="C147" s="114"/>
    </row>
    <row r="148" spans="3:3" x14ac:dyDescent="0.25">
      <c r="C148" s="114"/>
    </row>
    <row r="149" spans="3:3" x14ac:dyDescent="0.25">
      <c r="C149" s="114"/>
    </row>
    <row r="150" spans="3:3" x14ac:dyDescent="0.25">
      <c r="C150" s="114"/>
    </row>
    <row r="151" spans="3:3" x14ac:dyDescent="0.25">
      <c r="C151" s="114"/>
    </row>
    <row r="152" spans="3:3" x14ac:dyDescent="0.25">
      <c r="C152" s="114"/>
    </row>
    <row r="153" spans="3:3" x14ac:dyDescent="0.25">
      <c r="C153" s="114"/>
    </row>
    <row r="154" spans="3:3" x14ac:dyDescent="0.25">
      <c r="C154" s="114"/>
    </row>
    <row r="155" spans="3:3" x14ac:dyDescent="0.25">
      <c r="C155" s="114"/>
    </row>
    <row r="156" spans="3:3" x14ac:dyDescent="0.25">
      <c r="C156" s="114"/>
    </row>
    <row r="157" spans="3:3" x14ac:dyDescent="0.25">
      <c r="C157" s="114"/>
    </row>
    <row r="158" spans="3:3" x14ac:dyDescent="0.25">
      <c r="C158" s="114"/>
    </row>
    <row r="159" spans="3:3" x14ac:dyDescent="0.25">
      <c r="C159" s="114"/>
    </row>
    <row r="160" spans="3:3" x14ac:dyDescent="0.25">
      <c r="C160" s="114"/>
    </row>
    <row r="161" spans="3:3" x14ac:dyDescent="0.25">
      <c r="C161" s="114"/>
    </row>
    <row r="162" spans="3:3" x14ac:dyDescent="0.25">
      <c r="C162" s="114"/>
    </row>
    <row r="163" spans="3:3" x14ac:dyDescent="0.25">
      <c r="C163" s="114"/>
    </row>
    <row r="164" spans="3:3" x14ac:dyDescent="0.25">
      <c r="C164" s="114"/>
    </row>
    <row r="165" spans="3:3" x14ac:dyDescent="0.25">
      <c r="C165" s="114"/>
    </row>
    <row r="166" spans="3:3" x14ac:dyDescent="0.25">
      <c r="C166" s="114"/>
    </row>
    <row r="167" spans="3:3" x14ac:dyDescent="0.25">
      <c r="C167" s="114"/>
    </row>
    <row r="168" spans="3:3" x14ac:dyDescent="0.25">
      <c r="C168" s="114"/>
    </row>
    <row r="169" spans="3:3" x14ac:dyDescent="0.25">
      <c r="C169" s="114"/>
    </row>
    <row r="170" spans="3:3" x14ac:dyDescent="0.25">
      <c r="C170" s="114"/>
    </row>
    <row r="171" spans="3:3" x14ac:dyDescent="0.25">
      <c r="C171" s="114"/>
    </row>
    <row r="172" spans="3:3" x14ac:dyDescent="0.25">
      <c r="C172" s="114"/>
    </row>
    <row r="173" spans="3:3" x14ac:dyDescent="0.25">
      <c r="C173" s="114"/>
    </row>
    <row r="174" spans="3:3" x14ac:dyDescent="0.25">
      <c r="C174" s="114"/>
    </row>
    <row r="175" spans="3:3" x14ac:dyDescent="0.25">
      <c r="C175" s="114"/>
    </row>
    <row r="176" spans="3:3" x14ac:dyDescent="0.25">
      <c r="C176" s="114"/>
    </row>
    <row r="177" spans="3:3" x14ac:dyDescent="0.25">
      <c r="C177" s="114"/>
    </row>
    <row r="178" spans="3:3" x14ac:dyDescent="0.25">
      <c r="C178" s="114"/>
    </row>
    <row r="179" spans="3:3" x14ac:dyDescent="0.25">
      <c r="C179" s="114"/>
    </row>
    <row r="180" spans="3:3" x14ac:dyDescent="0.25">
      <c r="C180" s="114"/>
    </row>
    <row r="181" spans="3:3" x14ac:dyDescent="0.25">
      <c r="C181" s="114"/>
    </row>
    <row r="182" spans="3:3" x14ac:dyDescent="0.25">
      <c r="C182" s="114"/>
    </row>
  </sheetData>
  <phoneticPr fontId="0" type="noConversion"/>
  <hyperlinks>
    <hyperlink ref="A1" location="'Working Budget with funding det'!A1" display="Main " xr:uid="{00000000-0004-0000-2900-000000000000}"/>
    <hyperlink ref="B1" location="'Table of Contents'!A1" display="TOC" xr:uid="{00000000-0004-0000-2900-000001000000}"/>
  </hyperlinks>
  <pageMargins left="0.75" right="0.75" top="1" bottom="1" header="0.5" footer="0.5"/>
  <pageSetup orientation="landscape" horizontalDpi="300" verticalDpi="300" r:id="rId1"/>
  <headerFooter alignWithMargins="0">
    <oddFooter>&amp;L&amp;D     &amp;T&amp;C&amp;F&amp;R&amp;A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M42"/>
  <sheetViews>
    <sheetView topLeftCell="A11" workbookViewId="0">
      <selection activeCell="C24" sqref="C24"/>
    </sheetView>
  </sheetViews>
  <sheetFormatPr defaultRowHeight="13.2" x14ac:dyDescent="0.25"/>
  <cols>
    <col min="1" max="1" width="50" customWidth="1"/>
    <col min="2" max="3" width="12" style="2" customWidth="1"/>
    <col min="4" max="4" width="11.44140625" customWidth="1"/>
    <col min="5" max="5" width="13.77734375" customWidth="1"/>
    <col min="6" max="6" width="22" style="94" customWidth="1"/>
    <col min="7" max="7" width="24.33203125" style="94" customWidth="1"/>
    <col min="8" max="8" width="14.109375" style="94" customWidth="1"/>
    <col min="9" max="9" width="11.33203125" style="94" customWidth="1"/>
    <col min="10" max="10" width="9.33203125" style="94"/>
    <col min="11" max="11" width="31.33203125" style="94" customWidth="1"/>
    <col min="12" max="13" width="9.33203125" style="94"/>
  </cols>
  <sheetData>
    <row r="1" spans="1:11" x14ac:dyDescent="0.25">
      <c r="A1" s="371" t="s">
        <v>1348</v>
      </c>
    </row>
    <row r="2" spans="1:11" ht="18" x14ac:dyDescent="0.35">
      <c r="A2" s="1155" t="s">
        <v>1081</v>
      </c>
      <c r="B2" s="1155"/>
      <c r="C2" s="1155"/>
      <c r="D2" s="1155"/>
      <c r="E2" s="1155"/>
    </row>
    <row r="3" spans="1:11" ht="18" x14ac:dyDescent="0.35">
      <c r="A3" s="1155" t="s">
        <v>1082</v>
      </c>
      <c r="B3" s="1155"/>
      <c r="C3" s="1155"/>
      <c r="D3" s="1155"/>
      <c r="E3" s="1155"/>
    </row>
    <row r="4" spans="1:11" ht="18" x14ac:dyDescent="0.35">
      <c r="A4" s="1155" t="s">
        <v>1083</v>
      </c>
      <c r="B4" s="1155"/>
      <c r="C4" s="1155"/>
      <c r="D4" s="1155"/>
      <c r="E4" s="1155"/>
    </row>
    <row r="5" spans="1:11" ht="18" x14ac:dyDescent="0.35">
      <c r="A5" s="1155" t="s">
        <v>1084</v>
      </c>
      <c r="B5" s="1155"/>
      <c r="C5" s="1155"/>
      <c r="D5" s="1155"/>
      <c r="E5" s="1155"/>
    </row>
    <row r="6" spans="1:11" ht="18" x14ac:dyDescent="0.35">
      <c r="A6" s="1155" t="s">
        <v>1841</v>
      </c>
      <c r="B6" s="1155"/>
      <c r="C6" s="1155"/>
      <c r="D6" s="1155"/>
      <c r="E6" s="1155"/>
    </row>
    <row r="7" spans="1:11" ht="18" x14ac:dyDescent="0.35">
      <c r="A7" s="1155" t="s">
        <v>1842</v>
      </c>
      <c r="B7" s="1155"/>
      <c r="C7" s="1155"/>
      <c r="D7" s="1155"/>
      <c r="E7" s="1155"/>
    </row>
    <row r="8" spans="1:11" ht="40.799999999999997" x14ac:dyDescent="0.35">
      <c r="A8" s="288"/>
      <c r="B8" s="728" t="s">
        <v>1338</v>
      </c>
    </row>
    <row r="9" spans="1:11" ht="18" x14ac:dyDescent="0.35">
      <c r="A9" s="1154" t="s">
        <v>1699</v>
      </c>
      <c r="B9" s="1154"/>
      <c r="C9" s="1154"/>
      <c r="D9" s="1154"/>
      <c r="E9" s="1154"/>
    </row>
    <row r="10" spans="1:11" x14ac:dyDescent="0.25">
      <c r="A10" s="267"/>
      <c r="B10" s="595" t="s">
        <v>1194</v>
      </c>
      <c r="C10" s="595"/>
      <c r="D10" s="179"/>
      <c r="E10" s="191"/>
      <c r="F10" s="348" t="s">
        <v>1474</v>
      </c>
      <c r="H10" s="175"/>
      <c r="K10" s="287"/>
    </row>
    <row r="11" spans="1:11" x14ac:dyDescent="0.25">
      <c r="A11" s="225" t="s">
        <v>851</v>
      </c>
      <c r="B11" s="175" t="s">
        <v>529</v>
      </c>
      <c r="C11" s="175"/>
      <c r="D11" s="94"/>
      <c r="E11" s="328"/>
      <c r="F11" s="348" t="s">
        <v>1475</v>
      </c>
      <c r="H11" s="175"/>
    </row>
    <row r="12" spans="1:11" x14ac:dyDescent="0.25">
      <c r="A12" s="257"/>
      <c r="B12" s="175" t="s">
        <v>671</v>
      </c>
      <c r="C12" s="175"/>
      <c r="D12" s="94"/>
      <c r="E12" s="328"/>
      <c r="F12" s="225"/>
      <c r="H12" s="175"/>
    </row>
    <row r="13" spans="1:11" x14ac:dyDescent="0.25">
      <c r="A13" s="173"/>
      <c r="B13" s="175"/>
      <c r="C13" s="175"/>
      <c r="D13" s="94"/>
      <c r="E13" s="328"/>
      <c r="H13" s="175"/>
    </row>
    <row r="14" spans="1:11" x14ac:dyDescent="0.25">
      <c r="A14" s="173" t="s">
        <v>680</v>
      </c>
      <c r="B14" s="54">
        <f>+'Revenue Projections Detail'!L16</f>
        <v>20877815.670000002</v>
      </c>
      <c r="C14" s="54"/>
      <c r="D14" s="54"/>
      <c r="E14" s="328"/>
      <c r="G14" s="54"/>
      <c r="H14" s="54"/>
    </row>
    <row r="15" spans="1:11" x14ac:dyDescent="0.25">
      <c r="A15" s="173" t="s">
        <v>942</v>
      </c>
      <c r="B15" s="56">
        <f>-'Revenue Projections Detail'!L11</f>
        <v>-1182555.67</v>
      </c>
      <c r="C15" s="54"/>
      <c r="D15" s="54"/>
      <c r="E15" s="328"/>
      <c r="G15" s="54"/>
      <c r="H15" s="54"/>
    </row>
    <row r="16" spans="1:11" x14ac:dyDescent="0.25">
      <c r="A16" s="173" t="s">
        <v>672</v>
      </c>
      <c r="B16" s="54">
        <f>SUM(B14:B15)</f>
        <v>19695260</v>
      </c>
      <c r="C16" s="54"/>
      <c r="D16" s="54"/>
      <c r="E16" s="328"/>
      <c r="H16" s="54"/>
    </row>
    <row r="17" spans="1:10" x14ac:dyDescent="0.25">
      <c r="A17" s="173"/>
      <c r="B17" s="54"/>
      <c r="C17" s="54"/>
      <c r="D17" s="94"/>
      <c r="E17" s="328"/>
      <c r="H17" s="54"/>
    </row>
    <row r="18" spans="1:10" x14ac:dyDescent="0.25">
      <c r="A18" s="173" t="s">
        <v>679</v>
      </c>
      <c r="B18" s="54">
        <f>+'Revenue Projections Detail'!L28</f>
        <v>1879826</v>
      </c>
      <c r="C18" s="54"/>
      <c r="D18" s="54"/>
      <c r="E18" s="328"/>
      <c r="H18" s="54"/>
      <c r="I18" s="348"/>
      <c r="J18" s="176"/>
    </row>
    <row r="19" spans="1:10" x14ac:dyDescent="0.25">
      <c r="A19" s="173"/>
      <c r="B19" s="54"/>
      <c r="C19" s="54"/>
      <c r="D19" s="94"/>
      <c r="E19" s="328"/>
      <c r="H19" s="54"/>
      <c r="J19" s="379"/>
    </row>
    <row r="20" spans="1:10" x14ac:dyDescent="0.25">
      <c r="A20" s="173" t="s">
        <v>856</v>
      </c>
      <c r="B20" s="54">
        <f>+'Revenue Projections Detail'!L48</f>
        <v>1583548</v>
      </c>
      <c r="C20" s="54"/>
      <c r="D20" s="54"/>
      <c r="E20" s="328"/>
      <c r="H20" s="54"/>
      <c r="J20" s="176"/>
    </row>
    <row r="21" spans="1:10" x14ac:dyDescent="0.25">
      <c r="A21" s="173"/>
      <c r="B21" s="54"/>
      <c r="C21" s="54"/>
      <c r="D21" s="94"/>
      <c r="E21" s="328"/>
      <c r="H21" s="54"/>
    </row>
    <row r="22" spans="1:10" x14ac:dyDescent="0.25">
      <c r="A22" s="173" t="s">
        <v>678</v>
      </c>
      <c r="B22" s="54">
        <f>+'Revenue Projections Detail'!L75</f>
        <v>0</v>
      </c>
      <c r="C22" s="816"/>
      <c r="D22" s="54"/>
      <c r="E22" s="328"/>
      <c r="H22" s="54"/>
    </row>
    <row r="23" spans="1:10" x14ac:dyDescent="0.25">
      <c r="A23" s="173"/>
      <c r="B23" s="54"/>
      <c r="C23" s="54"/>
      <c r="D23" s="94"/>
      <c r="E23" s="328"/>
      <c r="H23" s="54"/>
    </row>
    <row r="24" spans="1:10" ht="13.8" thickBot="1" x14ac:dyDescent="0.3">
      <c r="A24" s="173" t="s">
        <v>673</v>
      </c>
      <c r="B24" s="55">
        <f>SUM(B16:B23)</f>
        <v>23158634</v>
      </c>
      <c r="C24" s="54"/>
      <c r="D24" s="54"/>
      <c r="E24" s="328"/>
      <c r="H24" s="54"/>
      <c r="I24" s="188"/>
    </row>
    <row r="25" spans="1:10" ht="13.8" thickTop="1" x14ac:dyDescent="0.25">
      <c r="A25" s="173"/>
      <c r="B25" s="54"/>
      <c r="C25" s="54"/>
      <c r="D25" s="94"/>
      <c r="E25" s="328"/>
      <c r="H25" s="54"/>
    </row>
    <row r="26" spans="1:10" x14ac:dyDescent="0.25">
      <c r="A26" s="173" t="s">
        <v>676</v>
      </c>
      <c r="B26" s="54"/>
      <c r="C26" s="54"/>
      <c r="D26" s="94"/>
      <c r="E26" s="328"/>
      <c r="H26" s="54"/>
    </row>
    <row r="27" spans="1:10" x14ac:dyDescent="0.25">
      <c r="A27" s="173" t="s">
        <v>662</v>
      </c>
      <c r="B27" s="54">
        <f>ROUND((+B24*0.485),0)</f>
        <v>11231937</v>
      </c>
      <c r="C27" s="54"/>
      <c r="D27" s="54"/>
      <c r="E27" s="328"/>
      <c r="H27" s="54"/>
    </row>
    <row r="28" spans="1:10" x14ac:dyDescent="0.25">
      <c r="A28" s="173" t="s">
        <v>677</v>
      </c>
      <c r="B28" s="54">
        <f>+'Debt Exclusion Calc.'!I29</f>
        <v>114333</v>
      </c>
      <c r="C28" s="54"/>
      <c r="D28" s="54"/>
      <c r="E28" s="328"/>
      <c r="H28" s="54"/>
      <c r="I28" s="54"/>
      <c r="J28" s="225"/>
    </row>
    <row r="29" spans="1:10" ht="13.8" thickBot="1" x14ac:dyDescent="0.3">
      <c r="A29" s="173" t="s">
        <v>439</v>
      </c>
      <c r="B29" s="55">
        <f>SUM(B27:B28)</f>
        <v>11346270</v>
      </c>
      <c r="C29" s="54">
        <f>SUM(C27:C28)</f>
        <v>0</v>
      </c>
      <c r="D29" s="54"/>
      <c r="E29" s="328"/>
      <c r="H29" s="54"/>
      <c r="I29" s="231"/>
      <c r="J29" s="225"/>
    </row>
    <row r="30" spans="1:10" ht="13.8" thickTop="1" x14ac:dyDescent="0.25">
      <c r="A30" s="340"/>
      <c r="B30" s="54"/>
      <c r="C30" s="54"/>
      <c r="D30" s="94"/>
      <c r="E30" s="328"/>
      <c r="G30" s="176"/>
      <c r="H30" s="54"/>
      <c r="I30" s="54"/>
    </row>
    <row r="31" spans="1:10" x14ac:dyDescent="0.25">
      <c r="A31" s="173"/>
      <c r="B31" s="54"/>
      <c r="C31" s="54"/>
      <c r="E31" s="328"/>
      <c r="H31" s="54"/>
      <c r="I31" s="188"/>
    </row>
    <row r="32" spans="1:10" x14ac:dyDescent="0.25">
      <c r="A32" s="257" t="s">
        <v>760</v>
      </c>
      <c r="B32" s="54">
        <f>+D33</f>
        <v>11346270</v>
      </c>
      <c r="C32" s="54">
        <f>+C29</f>
        <v>0</v>
      </c>
      <c r="D32" s="54">
        <f>+'300 Schools'!M13</f>
        <v>10950854</v>
      </c>
      <c r="E32" s="341" t="s">
        <v>1663</v>
      </c>
      <c r="F32" s="225"/>
      <c r="H32" s="54"/>
    </row>
    <row r="33" spans="1:8" ht="13.8" thickBot="1" x14ac:dyDescent="0.3">
      <c r="A33" s="173" t="s">
        <v>1241</v>
      </c>
      <c r="B33" s="54">
        <f>+B32-B29</f>
        <v>0</v>
      </c>
      <c r="C33" s="54">
        <f>+C32-C29</f>
        <v>0</v>
      </c>
      <c r="D33" s="729">
        <f>+B29</f>
        <v>11346270</v>
      </c>
      <c r="E33" s="328"/>
      <c r="H33" s="54"/>
    </row>
    <row r="34" spans="1:8" x14ac:dyDescent="0.25">
      <c r="A34" s="340" t="s">
        <v>1293</v>
      </c>
      <c r="B34" s="56">
        <f>+'Working Budget with funding det'!P128</f>
        <v>0</v>
      </c>
      <c r="C34" s="54">
        <f>+B34</f>
        <v>0</v>
      </c>
      <c r="D34" s="54">
        <f>+D33-D32</f>
        <v>395416</v>
      </c>
      <c r="E34" s="328" t="s">
        <v>351</v>
      </c>
      <c r="H34" s="54"/>
    </row>
    <row r="35" spans="1:8" x14ac:dyDescent="0.25">
      <c r="A35" s="173" t="s">
        <v>346</v>
      </c>
      <c r="B35" s="54">
        <f>+B32-B33-B34</f>
        <v>11346270</v>
      </c>
      <c r="C35" s="54">
        <f>+C32-C33-C34</f>
        <v>0</v>
      </c>
      <c r="D35" s="188">
        <f>ROUND((+D34/D32),4)</f>
        <v>3.61E-2</v>
      </c>
      <c r="E35" s="328" t="s">
        <v>353</v>
      </c>
      <c r="H35" s="54"/>
    </row>
    <row r="36" spans="1:8" x14ac:dyDescent="0.25">
      <c r="A36" s="173"/>
      <c r="B36" s="54"/>
      <c r="C36" s="54"/>
      <c r="D36" s="94"/>
      <c r="E36" s="328"/>
      <c r="H36" s="54"/>
    </row>
    <row r="37" spans="1:8" x14ac:dyDescent="0.25">
      <c r="A37" s="173" t="s">
        <v>676</v>
      </c>
      <c r="B37" s="54"/>
      <c r="C37" s="54"/>
      <c r="D37" s="231"/>
      <c r="E37" s="341"/>
      <c r="H37" s="54"/>
    </row>
    <row r="38" spans="1:8" x14ac:dyDescent="0.25">
      <c r="A38" s="173" t="s">
        <v>662</v>
      </c>
      <c r="B38" s="54"/>
      <c r="C38" s="54"/>
      <c r="D38" s="370"/>
      <c r="E38" s="328"/>
      <c r="H38" s="54"/>
    </row>
    <row r="39" spans="1:8" x14ac:dyDescent="0.25">
      <c r="A39" s="173" t="s">
        <v>677</v>
      </c>
      <c r="B39" s="54"/>
      <c r="C39" s="54"/>
      <c r="D39" s="231"/>
      <c r="E39" s="328"/>
      <c r="H39" s="54"/>
    </row>
    <row r="40" spans="1:8" x14ac:dyDescent="0.25">
      <c r="A40" s="173" t="s">
        <v>439</v>
      </c>
      <c r="B40" s="54"/>
      <c r="C40" s="54"/>
      <c r="D40" s="188"/>
      <c r="E40" s="328"/>
      <c r="H40" s="54"/>
    </row>
    <row r="41" spans="1:8" x14ac:dyDescent="0.25">
      <c r="A41" s="72"/>
      <c r="B41" s="56"/>
      <c r="C41" s="56"/>
      <c r="D41" s="58"/>
      <c r="E41" s="329"/>
      <c r="H41" s="54"/>
    </row>
    <row r="42" spans="1:8" x14ac:dyDescent="0.25">
      <c r="A42" s="80"/>
    </row>
  </sheetData>
  <mergeCells count="7">
    <mergeCell ref="A9:E9"/>
    <mergeCell ref="A2:E2"/>
    <mergeCell ref="A3:E3"/>
    <mergeCell ref="A4:E4"/>
    <mergeCell ref="A7:E7"/>
    <mergeCell ref="A5:E5"/>
    <mergeCell ref="A6:E6"/>
  </mergeCells>
  <phoneticPr fontId="16" type="noConversion"/>
  <hyperlinks>
    <hyperlink ref="A1" location="'Table of Contents'!A1" display="TOC" xr:uid="{00000000-0004-0000-0600-000000000000}"/>
  </hyperlinks>
  <pageMargins left="0.75" right="0.75" top="1" bottom="1" header="0.5" footer="0.5"/>
  <pageSetup fitToHeight="2" orientation="portrait" r:id="rId1"/>
  <headerFooter alignWithMargins="0">
    <oddFooter>&amp;L&amp;D &amp;T&amp;C&amp;F&amp;R&amp;A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92D050"/>
  </sheetPr>
  <dimension ref="A1:U107"/>
  <sheetViews>
    <sheetView zoomScaleNormal="100" workbookViewId="0">
      <selection activeCell="O9" sqref="O9"/>
    </sheetView>
  </sheetViews>
  <sheetFormatPr defaultRowHeight="13.2" x14ac:dyDescent="0.25"/>
  <cols>
    <col min="1" max="1" width="11.109375" style="885" customWidth="1"/>
    <col min="2" max="2" width="36.6640625" customWidth="1"/>
    <col min="3" max="3" width="14.44140625" style="1" hidden="1" customWidth="1"/>
    <col min="4" max="10" width="14.44140625" style="114" hidden="1" customWidth="1"/>
    <col min="11" max="13" width="14.44140625" style="114" customWidth="1"/>
    <col min="14" max="14" width="14.44140625" customWidth="1"/>
    <col min="15" max="17" width="14.44140625" style="1" customWidth="1"/>
    <col min="18" max="20" width="14.44140625" customWidth="1"/>
    <col min="21" max="21" width="14.6640625" style="2" customWidth="1"/>
  </cols>
  <sheetData>
    <row r="1" spans="1:20" x14ac:dyDescent="0.25">
      <c r="A1" s="874" t="s">
        <v>1021</v>
      </c>
      <c r="B1" s="371" t="s">
        <v>1348</v>
      </c>
      <c r="Q1"/>
    </row>
    <row r="2" spans="1:20" ht="13.8" x14ac:dyDescent="0.25">
      <c r="A2" s="875" t="s">
        <v>263</v>
      </c>
      <c r="B2" s="45"/>
      <c r="E2" s="141"/>
      <c r="I2" s="141" t="s">
        <v>257</v>
      </c>
      <c r="J2" s="141"/>
      <c r="K2" s="141"/>
      <c r="L2" s="141"/>
      <c r="M2" s="141"/>
      <c r="N2" s="61" t="s">
        <v>307</v>
      </c>
      <c r="P2" s="46" t="s">
        <v>498</v>
      </c>
    </row>
    <row r="3" spans="1:20" ht="13.8" thickBot="1" x14ac:dyDescent="0.3">
      <c r="A3" s="876"/>
      <c r="B3" s="4"/>
      <c r="C3" s="23"/>
      <c r="D3" s="23"/>
      <c r="E3" s="23"/>
      <c r="F3" s="23"/>
      <c r="G3" s="23"/>
      <c r="H3" s="23"/>
      <c r="I3" s="23"/>
      <c r="J3" s="23"/>
      <c r="K3" s="23"/>
      <c r="L3" s="23"/>
      <c r="M3" s="23"/>
      <c r="N3" s="4"/>
      <c r="O3" s="23"/>
      <c r="P3" s="4"/>
      <c r="Q3" s="4"/>
      <c r="T3" s="4"/>
    </row>
    <row r="4" spans="1:20" ht="13.8" thickTop="1" x14ac:dyDescent="0.25">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t="s">
        <v>910</v>
      </c>
    </row>
    <row r="5" spans="1:20" x14ac:dyDescent="0.25">
      <c r="A5" s="878"/>
      <c r="B5" s="209"/>
      <c r="C5" s="127"/>
      <c r="D5" s="87"/>
      <c r="E5" s="113"/>
      <c r="F5" s="113"/>
      <c r="G5" s="87"/>
      <c r="H5" s="113"/>
      <c r="I5" s="290"/>
      <c r="J5" s="290"/>
      <c r="K5" s="290"/>
      <c r="L5" s="290"/>
      <c r="M5" s="290"/>
      <c r="N5" s="113" t="s">
        <v>515</v>
      </c>
      <c r="O5" s="88" t="s">
        <v>7</v>
      </c>
      <c r="P5" s="203" t="s">
        <v>782</v>
      </c>
    </row>
    <row r="6" spans="1:20" x14ac:dyDescent="0.25">
      <c r="A6" s="878"/>
      <c r="B6" s="209"/>
      <c r="C6" s="127"/>
      <c r="D6" s="127"/>
      <c r="E6" s="127"/>
      <c r="F6" s="127"/>
      <c r="G6" s="127"/>
      <c r="H6" s="127"/>
      <c r="I6" s="88"/>
      <c r="J6" s="88"/>
      <c r="K6" s="88"/>
      <c r="L6" s="88"/>
      <c r="M6" s="88"/>
      <c r="N6" s="127"/>
      <c r="O6" s="88" t="s">
        <v>8</v>
      </c>
      <c r="P6" s="47" t="s">
        <v>543</v>
      </c>
    </row>
    <row r="7" spans="1:20"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44561</v>
      </c>
      <c r="O7" s="9" t="s">
        <v>9</v>
      </c>
      <c r="P7" s="9" t="s">
        <v>546</v>
      </c>
    </row>
    <row r="8" spans="1:20" ht="13.8" thickTop="1" x14ac:dyDescent="0.25">
      <c r="A8" s="880"/>
      <c r="B8" s="177"/>
      <c r="C8" s="129"/>
      <c r="D8" s="315"/>
      <c r="E8" s="315"/>
      <c r="F8" s="315"/>
      <c r="G8" s="315"/>
      <c r="H8" s="315"/>
      <c r="I8" s="315"/>
      <c r="J8" s="315"/>
      <c r="K8" s="164"/>
      <c r="L8" s="164"/>
      <c r="M8" s="164"/>
      <c r="N8" s="62"/>
      <c r="O8" s="10"/>
      <c r="P8" s="10"/>
    </row>
    <row r="9" spans="1:20" x14ac:dyDescent="0.25">
      <c r="A9" s="881">
        <v>5111</v>
      </c>
      <c r="B9" s="63" t="s">
        <v>703</v>
      </c>
      <c r="C9" s="130">
        <v>62644</v>
      </c>
      <c r="D9" s="13">
        <f>129+62937</f>
        <v>63066</v>
      </c>
      <c r="E9" s="13">
        <v>64970</v>
      </c>
      <c r="F9" s="13">
        <v>66933</v>
      </c>
      <c r="G9" s="13">
        <v>68954</v>
      </c>
      <c r="H9" s="13">
        <v>69988</v>
      </c>
      <c r="I9" s="13">
        <v>73591.7</v>
      </c>
      <c r="J9" s="13">
        <v>65941.53</v>
      </c>
      <c r="K9" s="14">
        <f>37941+67610</f>
        <v>105551</v>
      </c>
      <c r="L9" s="13">
        <v>105572.13</v>
      </c>
      <c r="M9" s="14">
        <f>39130+69997</f>
        <v>109127</v>
      </c>
      <c r="N9" s="13">
        <v>52814.68</v>
      </c>
      <c r="O9" s="122">
        <f>ROUND((+N47+N48),0)</f>
        <v>111290</v>
      </c>
      <c r="P9" s="14"/>
      <c r="Q9" s="1117" t="s">
        <v>1891</v>
      </c>
    </row>
    <row r="10" spans="1:20" hidden="1" x14ac:dyDescent="0.25">
      <c r="A10" s="881">
        <v>5113</v>
      </c>
      <c r="B10" s="63" t="s">
        <v>1059</v>
      </c>
      <c r="C10" s="130">
        <v>11965.6</v>
      </c>
      <c r="D10" s="13">
        <v>22300.3</v>
      </c>
      <c r="E10" s="13">
        <v>16105.72</v>
      </c>
      <c r="F10" s="13">
        <v>28573.13</v>
      </c>
      <c r="G10" s="13">
        <v>29302</v>
      </c>
      <c r="H10" s="13">
        <v>30485</v>
      </c>
      <c r="I10" s="13">
        <v>10876.31</v>
      </c>
      <c r="J10" s="13"/>
      <c r="K10" s="14">
        <v>0</v>
      </c>
      <c r="L10" s="13"/>
      <c r="M10" s="14"/>
      <c r="N10" s="13"/>
      <c r="O10" s="14"/>
      <c r="P10" s="14"/>
    </row>
    <row r="11" spans="1:20" hidden="1" x14ac:dyDescent="0.25">
      <c r="A11" s="881">
        <v>5114</v>
      </c>
      <c r="B11" s="63" t="s">
        <v>1584</v>
      </c>
      <c r="C11" s="130">
        <v>12727.84</v>
      </c>
      <c r="D11" s="13">
        <v>14529.42</v>
      </c>
      <c r="E11" s="13">
        <v>15036.46</v>
      </c>
      <c r="F11" s="13">
        <v>15806.8</v>
      </c>
      <c r="G11" s="13">
        <v>15361.4</v>
      </c>
      <c r="H11" s="13">
        <v>16774.490000000002</v>
      </c>
      <c r="I11" s="144">
        <v>17626.96</v>
      </c>
      <c r="J11" s="144">
        <v>31097.119999999999</v>
      </c>
      <c r="K11" s="122"/>
      <c r="L11" s="144"/>
      <c r="M11" s="14"/>
      <c r="N11" s="13"/>
      <c r="O11" s="14"/>
      <c r="P11" s="122"/>
    </row>
    <row r="12" spans="1:20" x14ac:dyDescent="0.25">
      <c r="A12" s="881">
        <v>5116</v>
      </c>
      <c r="B12" s="63" t="s">
        <v>533</v>
      </c>
      <c r="C12" s="405">
        <v>1500</v>
      </c>
      <c r="D12" s="144">
        <v>1500</v>
      </c>
      <c r="E12" s="144">
        <v>1500</v>
      </c>
      <c r="F12" s="144">
        <v>1500</v>
      </c>
      <c r="G12" s="144">
        <v>1500</v>
      </c>
      <c r="H12" s="144">
        <v>1500</v>
      </c>
      <c r="I12" s="144">
        <v>1500</v>
      </c>
      <c r="J12" s="144">
        <v>1575</v>
      </c>
      <c r="K12" s="122">
        <v>1575</v>
      </c>
      <c r="L12" s="233">
        <v>1575</v>
      </c>
      <c r="M12" s="122">
        <v>1575</v>
      </c>
      <c r="N12" s="37">
        <v>787.5</v>
      </c>
      <c r="O12" s="122">
        <v>1575</v>
      </c>
      <c r="P12" s="122"/>
    </row>
    <row r="13" spans="1:20" x14ac:dyDescent="0.25">
      <c r="A13" s="881">
        <v>5117</v>
      </c>
      <c r="B13" s="63" t="s">
        <v>739</v>
      </c>
      <c r="C13" s="702">
        <v>500</v>
      </c>
      <c r="D13" s="233">
        <v>0</v>
      </c>
      <c r="E13" s="233">
        <v>500</v>
      </c>
      <c r="F13" s="233">
        <v>1000</v>
      </c>
      <c r="G13" s="233">
        <v>1000</v>
      </c>
      <c r="H13" s="233">
        <v>1000</v>
      </c>
      <c r="I13" s="233">
        <v>1000</v>
      </c>
      <c r="J13" s="233">
        <v>1050</v>
      </c>
      <c r="K13" s="125">
        <v>1050</v>
      </c>
      <c r="L13" s="233">
        <v>1050</v>
      </c>
      <c r="M13" s="125">
        <v>1050</v>
      </c>
      <c r="N13" s="13">
        <v>1050</v>
      </c>
      <c r="O13" s="125">
        <v>1050</v>
      </c>
      <c r="P13" s="125"/>
    </row>
    <row r="14" spans="1:20" hidden="1" x14ac:dyDescent="0.25">
      <c r="A14" s="881"/>
      <c r="B14" s="63" t="s">
        <v>389</v>
      </c>
      <c r="C14" s="702">
        <v>669.75</v>
      </c>
      <c r="D14" s="233">
        <v>672</v>
      </c>
      <c r="E14" s="233">
        <v>670</v>
      </c>
      <c r="F14" s="233"/>
      <c r="G14" s="233"/>
      <c r="H14" s="233"/>
      <c r="I14" s="233">
        <v>0</v>
      </c>
      <c r="J14" s="233"/>
      <c r="K14" s="125"/>
      <c r="L14" s="325"/>
      <c r="M14" s="125"/>
      <c r="O14" s="125"/>
      <c r="P14" s="125"/>
    </row>
    <row r="15" spans="1:20" x14ac:dyDescent="0.25">
      <c r="A15" s="881"/>
      <c r="B15" s="63" t="s">
        <v>561</v>
      </c>
      <c r="C15" s="702">
        <v>1000</v>
      </c>
      <c r="D15" s="233">
        <v>1500</v>
      </c>
      <c r="E15" s="233">
        <v>1500</v>
      </c>
      <c r="F15" s="233">
        <v>1500</v>
      </c>
      <c r="G15" s="233">
        <v>1500</v>
      </c>
      <c r="H15" s="233">
        <v>1500</v>
      </c>
      <c r="I15" s="233">
        <v>1500</v>
      </c>
      <c r="J15" s="233">
        <v>1765</v>
      </c>
      <c r="K15" s="125">
        <v>1765</v>
      </c>
      <c r="L15" s="233">
        <v>1765</v>
      </c>
      <c r="M15" s="125">
        <v>1765</v>
      </c>
      <c r="N15" s="37">
        <v>882.47</v>
      </c>
      <c r="O15" s="125">
        <v>1765</v>
      </c>
      <c r="P15" s="125"/>
    </row>
    <row r="16" spans="1:20" x14ac:dyDescent="0.25">
      <c r="A16" s="881"/>
      <c r="B16" s="63" t="s">
        <v>531</v>
      </c>
      <c r="C16" s="702">
        <v>1000</v>
      </c>
      <c r="D16" s="233">
        <v>1500</v>
      </c>
      <c r="E16" s="233">
        <v>1500</v>
      </c>
      <c r="F16" s="233">
        <v>1500</v>
      </c>
      <c r="G16" s="233">
        <v>1500</v>
      </c>
      <c r="H16" s="233">
        <v>1500</v>
      </c>
      <c r="I16" s="233">
        <v>1500</v>
      </c>
      <c r="J16" s="233">
        <v>1605</v>
      </c>
      <c r="K16" s="125">
        <v>1605</v>
      </c>
      <c r="L16" s="233">
        <v>1605</v>
      </c>
      <c r="M16" s="125">
        <v>1605</v>
      </c>
      <c r="N16" s="37">
        <v>802.5</v>
      </c>
      <c r="O16" s="125">
        <v>1605</v>
      </c>
      <c r="P16" s="125"/>
    </row>
    <row r="17" spans="1:16" x14ac:dyDescent="0.25">
      <c r="A17" s="881">
        <v>5115</v>
      </c>
      <c r="B17" s="63" t="s">
        <v>532</v>
      </c>
      <c r="C17" s="405">
        <v>1000</v>
      </c>
      <c r="D17" s="144">
        <v>1500</v>
      </c>
      <c r="E17" s="144">
        <v>1500</v>
      </c>
      <c r="F17" s="144">
        <v>1500</v>
      </c>
      <c r="G17" s="144">
        <v>1500</v>
      </c>
      <c r="H17" s="144">
        <v>1500</v>
      </c>
      <c r="I17" s="144">
        <v>1500</v>
      </c>
      <c r="J17" s="144">
        <v>1605</v>
      </c>
      <c r="K17" s="122">
        <v>1605</v>
      </c>
      <c r="L17" s="144">
        <v>1605</v>
      </c>
      <c r="M17" s="122">
        <v>1605</v>
      </c>
      <c r="N17" s="13">
        <v>802.5</v>
      </c>
      <c r="O17" s="122">
        <v>1605</v>
      </c>
      <c r="P17" s="122"/>
    </row>
    <row r="18" spans="1:16" x14ac:dyDescent="0.25">
      <c r="A18" s="881">
        <v>5144</v>
      </c>
      <c r="B18" s="63" t="s">
        <v>157</v>
      </c>
      <c r="C18" s="702"/>
      <c r="D18" s="233"/>
      <c r="E18" s="233"/>
      <c r="F18" s="233"/>
      <c r="G18" s="233">
        <v>150</v>
      </c>
      <c r="H18" s="233">
        <v>150</v>
      </c>
      <c r="I18" s="233">
        <v>150</v>
      </c>
      <c r="J18" s="233"/>
      <c r="K18" s="125">
        <v>500</v>
      </c>
      <c r="L18" s="233">
        <v>500</v>
      </c>
      <c r="M18" s="125">
        <v>500</v>
      </c>
      <c r="N18" s="37"/>
      <c r="O18" s="125">
        <f>+Q48</f>
        <v>500</v>
      </c>
      <c r="P18" s="125"/>
    </row>
    <row r="19" spans="1:16" ht="13.8" thickBot="1" x14ac:dyDescent="0.3">
      <c r="A19" s="881">
        <v>5145</v>
      </c>
      <c r="B19" s="12" t="s">
        <v>603</v>
      </c>
      <c r="C19" s="318">
        <v>300.04000000000002</v>
      </c>
      <c r="D19" s="318">
        <v>300.04000000000002</v>
      </c>
      <c r="E19" s="318">
        <v>300.04000000000002</v>
      </c>
      <c r="F19" s="318">
        <v>305.81</v>
      </c>
      <c r="G19" s="144">
        <v>51.93</v>
      </c>
      <c r="H19" s="144"/>
      <c r="I19" s="144">
        <v>0</v>
      </c>
      <c r="J19" s="144">
        <v>276.95999999999998</v>
      </c>
      <c r="K19" s="123">
        <v>300</v>
      </c>
      <c r="L19" s="318">
        <v>305.81</v>
      </c>
      <c r="M19" s="123">
        <v>300</v>
      </c>
      <c r="N19" s="15">
        <v>144.25</v>
      </c>
      <c r="O19" s="123">
        <v>300</v>
      </c>
      <c r="P19" s="123"/>
    </row>
    <row r="20" spans="1:16" hidden="1" x14ac:dyDescent="0.25">
      <c r="A20" s="881">
        <v>5193</v>
      </c>
      <c r="B20" s="12" t="s">
        <v>1226</v>
      </c>
      <c r="C20" s="320"/>
      <c r="D20" s="320"/>
      <c r="E20" s="320"/>
      <c r="F20" s="320"/>
      <c r="G20" s="144"/>
      <c r="H20" s="144"/>
      <c r="I20" s="144">
        <v>5501.21</v>
      </c>
      <c r="J20" s="144"/>
      <c r="K20" s="124"/>
      <c r="L20" s="126"/>
      <c r="M20" s="124"/>
      <c r="N20" s="18"/>
      <c r="O20" s="124"/>
      <c r="P20" s="124"/>
    </row>
    <row r="21" spans="1:16" ht="13.8" hidden="1" thickBot="1" x14ac:dyDescent="0.3">
      <c r="A21" s="881">
        <v>5194</v>
      </c>
      <c r="B21" s="12" t="s">
        <v>1227</v>
      </c>
      <c r="C21" s="320"/>
      <c r="D21" s="320"/>
      <c r="E21" s="320"/>
      <c r="F21" s="320"/>
      <c r="G21" s="319"/>
      <c r="H21" s="319"/>
      <c r="I21" s="319">
        <v>1833.74</v>
      </c>
      <c r="J21" s="319"/>
      <c r="K21" s="147"/>
      <c r="L21" s="319"/>
      <c r="M21" s="147"/>
      <c r="N21" s="39"/>
      <c r="O21" s="147"/>
      <c r="P21" s="147"/>
    </row>
    <row r="22" spans="1:16" x14ac:dyDescent="0.25">
      <c r="A22" s="881"/>
      <c r="B22" s="17" t="s">
        <v>130</v>
      </c>
      <c r="C22" s="18">
        <f>SUM(C9:C19)</f>
        <v>93307.23</v>
      </c>
      <c r="D22" s="18">
        <f>SUM(D9:D19)</f>
        <v>106867.76</v>
      </c>
      <c r="E22" s="18">
        <f>SUM(E9:E19)</f>
        <v>103582.21999999999</v>
      </c>
      <c r="F22" s="18">
        <f>SUM(F9:F19)</f>
        <v>118618.74</v>
      </c>
      <c r="G22" s="18">
        <f t="shared" ref="G22:O22" si="0">SUM(G9:G21)</f>
        <v>120819.32999999999</v>
      </c>
      <c r="H22" s="18">
        <f t="shared" si="0"/>
        <v>124397.49</v>
      </c>
      <c r="I22" s="126">
        <f t="shared" si="0"/>
        <v>116579.92000000001</v>
      </c>
      <c r="J22" s="126">
        <f t="shared" si="0"/>
        <v>104915.61</v>
      </c>
      <c r="K22" s="249">
        <f t="shared" si="0"/>
        <v>113951</v>
      </c>
      <c r="L22" s="126">
        <f t="shared" si="0"/>
        <v>113977.94</v>
      </c>
      <c r="M22" s="249">
        <f t="shared" ref="M22" si="1">SUM(M9:M21)</f>
        <v>117527</v>
      </c>
      <c r="N22" s="18">
        <f t="shared" si="0"/>
        <v>57283.9</v>
      </c>
      <c r="O22" s="249">
        <f t="shared" si="0"/>
        <v>119690</v>
      </c>
      <c r="P22" s="249"/>
    </row>
    <row r="23" spans="1:16" x14ac:dyDescent="0.25">
      <c r="A23" s="881"/>
      <c r="B23" s="12"/>
      <c r="C23" s="13"/>
      <c r="D23" s="13"/>
      <c r="E23" s="13"/>
      <c r="F23" s="13"/>
      <c r="G23" s="13"/>
      <c r="H23" s="13"/>
      <c r="I23" s="144"/>
      <c r="J23" s="144"/>
      <c r="K23" s="122"/>
      <c r="L23" s="144"/>
      <c r="M23" s="122"/>
      <c r="N23" s="13"/>
      <c r="O23" s="122"/>
      <c r="P23" s="122"/>
    </row>
    <row r="24" spans="1:16" x14ac:dyDescent="0.25">
      <c r="A24" s="881">
        <v>5314</v>
      </c>
      <c r="B24" s="12" t="s">
        <v>139</v>
      </c>
      <c r="C24" s="13">
        <v>844</v>
      </c>
      <c r="D24" s="13">
        <v>760</v>
      </c>
      <c r="E24" s="13">
        <v>560</v>
      </c>
      <c r="F24" s="13">
        <v>1125</v>
      </c>
      <c r="G24" s="13">
        <v>1119.97</v>
      </c>
      <c r="H24" s="13">
        <v>1506.34</v>
      </c>
      <c r="I24" s="144">
        <v>790</v>
      </c>
      <c r="J24" s="144"/>
      <c r="K24" s="122">
        <v>1500</v>
      </c>
      <c r="L24" s="144"/>
      <c r="M24" s="122">
        <v>1500</v>
      </c>
      <c r="N24" s="13"/>
      <c r="O24" s="122">
        <v>1500</v>
      </c>
      <c r="P24" s="122"/>
    </row>
    <row r="25" spans="1:16" x14ac:dyDescent="0.25">
      <c r="A25" s="881">
        <v>5315</v>
      </c>
      <c r="B25" s="12" t="s">
        <v>31</v>
      </c>
      <c r="C25" s="13">
        <v>8934.75</v>
      </c>
      <c r="D25" s="13">
        <v>7969.5</v>
      </c>
      <c r="E25" s="13">
        <v>3688.75</v>
      </c>
      <c r="F25" s="13">
        <v>2507.9499999999998</v>
      </c>
      <c r="G25" s="13">
        <v>341.25</v>
      </c>
      <c r="H25" s="13">
        <v>963.75</v>
      </c>
      <c r="I25" s="144">
        <v>580</v>
      </c>
      <c r="J25" s="144">
        <v>4798.75</v>
      </c>
      <c r="K25" s="122">
        <v>9800</v>
      </c>
      <c r="L25" s="144">
        <v>9500</v>
      </c>
      <c r="M25" s="122">
        <v>28600</v>
      </c>
      <c r="N25" s="13">
        <v>14217.5</v>
      </c>
      <c r="O25" s="122">
        <v>28600</v>
      </c>
      <c r="P25" s="967"/>
    </row>
    <row r="26" spans="1:16" x14ac:dyDescent="0.25">
      <c r="A26" s="881">
        <v>5341</v>
      </c>
      <c r="B26" s="12" t="s">
        <v>1112</v>
      </c>
      <c r="C26" s="13">
        <v>618.01</v>
      </c>
      <c r="D26" s="13">
        <v>604.71</v>
      </c>
      <c r="E26" s="13">
        <v>786.39</v>
      </c>
      <c r="F26" s="13">
        <v>623.08000000000004</v>
      </c>
      <c r="G26" s="13">
        <v>895.98</v>
      </c>
      <c r="H26" s="13"/>
      <c r="I26" s="144">
        <v>399.92</v>
      </c>
      <c r="J26" s="144">
        <v>959.84</v>
      </c>
      <c r="K26" s="122">
        <v>1440</v>
      </c>
      <c r="L26" s="144">
        <v>1010.08</v>
      </c>
      <c r="M26" s="122">
        <v>1440</v>
      </c>
      <c r="N26" s="13">
        <v>399.9</v>
      </c>
      <c r="O26" s="122">
        <v>1440</v>
      </c>
      <c r="P26" s="122"/>
    </row>
    <row r="27" spans="1:16" x14ac:dyDescent="0.25">
      <c r="A27" s="881">
        <v>5344</v>
      </c>
      <c r="B27" s="12" t="s">
        <v>142</v>
      </c>
      <c r="C27" s="13">
        <v>372.41</v>
      </c>
      <c r="D27" s="13">
        <v>723.38</v>
      </c>
      <c r="E27" s="13">
        <v>1380.06</v>
      </c>
      <c r="F27" s="13">
        <v>479.67</v>
      </c>
      <c r="G27" s="13">
        <v>1425.09</v>
      </c>
      <c r="H27" s="13">
        <v>391.82</v>
      </c>
      <c r="I27" s="144">
        <v>769.29</v>
      </c>
      <c r="J27" s="144">
        <v>145.44999999999999</v>
      </c>
      <c r="K27" s="122">
        <v>800</v>
      </c>
      <c r="L27" s="144">
        <v>96.53</v>
      </c>
      <c r="M27" s="122">
        <v>800</v>
      </c>
      <c r="N27" s="13">
        <v>342.7</v>
      </c>
      <c r="O27" s="122">
        <v>800</v>
      </c>
      <c r="P27" s="122"/>
    </row>
    <row r="28" spans="1:16" x14ac:dyDescent="0.25">
      <c r="A28" s="881">
        <v>5345</v>
      </c>
      <c r="B28" s="12" t="s">
        <v>143</v>
      </c>
      <c r="C28" s="13">
        <v>377.02</v>
      </c>
      <c r="D28" s="13">
        <v>0</v>
      </c>
      <c r="E28" s="13">
        <v>843.5</v>
      </c>
      <c r="F28" s="13"/>
      <c r="G28" s="13">
        <v>439.09</v>
      </c>
      <c r="H28" s="13"/>
      <c r="I28" s="144">
        <v>2118.41</v>
      </c>
      <c r="J28" s="144">
        <v>56</v>
      </c>
      <c r="K28" s="122">
        <v>200</v>
      </c>
      <c r="L28" s="144"/>
      <c r="M28" s="122">
        <v>200</v>
      </c>
      <c r="N28" s="13">
        <v>305.5</v>
      </c>
      <c r="O28" s="122">
        <v>200</v>
      </c>
      <c r="P28" s="122"/>
    </row>
    <row r="29" spans="1:16" x14ac:dyDescent="0.25">
      <c r="A29" s="881">
        <v>5350</v>
      </c>
      <c r="B29" s="12" t="s">
        <v>1347</v>
      </c>
      <c r="C29" s="13"/>
      <c r="D29" s="13"/>
      <c r="E29" s="13"/>
      <c r="F29" s="13"/>
      <c r="G29" s="13"/>
      <c r="H29" s="13"/>
      <c r="I29" s="144"/>
      <c r="J29" s="144">
        <v>4500</v>
      </c>
      <c r="K29" s="122">
        <v>3000</v>
      </c>
      <c r="L29" s="144">
        <v>3000</v>
      </c>
      <c r="M29" s="122">
        <v>3000</v>
      </c>
      <c r="N29" s="13">
        <v>3000</v>
      </c>
      <c r="O29" s="122">
        <v>3000</v>
      </c>
      <c r="P29" s="122"/>
    </row>
    <row r="30" spans="1:16" x14ac:dyDescent="0.25">
      <c r="A30" s="881">
        <v>5380</v>
      </c>
      <c r="B30" s="12" t="s">
        <v>1228</v>
      </c>
      <c r="C30" s="13">
        <v>614.07000000000005</v>
      </c>
      <c r="D30" s="13">
        <v>674.22</v>
      </c>
      <c r="E30" s="13">
        <v>1414.08</v>
      </c>
      <c r="F30" s="13">
        <v>540</v>
      </c>
      <c r="G30" s="13">
        <v>179.31</v>
      </c>
      <c r="H30" s="13">
        <v>159.19999999999999</v>
      </c>
      <c r="I30" s="144">
        <v>1231.8499999999999</v>
      </c>
      <c r="J30" s="144">
        <v>149.94</v>
      </c>
      <c r="K30" s="122">
        <v>500</v>
      </c>
      <c r="L30" s="144"/>
      <c r="M30" s="122">
        <v>500</v>
      </c>
      <c r="N30" s="13"/>
      <c r="O30" s="122">
        <v>500</v>
      </c>
      <c r="P30" s="122"/>
    </row>
    <row r="31" spans="1:16" x14ac:dyDescent="0.25">
      <c r="A31" s="881">
        <v>5420</v>
      </c>
      <c r="B31" s="12" t="s">
        <v>144</v>
      </c>
      <c r="C31" s="18">
        <v>1921.7</v>
      </c>
      <c r="D31" s="18">
        <v>2106.65</v>
      </c>
      <c r="E31" s="18">
        <v>5741.26</v>
      </c>
      <c r="F31" s="18">
        <v>4145.3999999999996</v>
      </c>
      <c r="G31" s="18">
        <v>1317.31</v>
      </c>
      <c r="H31" s="18">
        <v>2420.1</v>
      </c>
      <c r="I31" s="126">
        <v>4880.9799999999996</v>
      </c>
      <c r="J31" s="126">
        <v>4275.57</v>
      </c>
      <c r="K31" s="124">
        <v>1500</v>
      </c>
      <c r="L31" s="126">
        <v>2550.5700000000002</v>
      </c>
      <c r="M31" s="124">
        <v>1500</v>
      </c>
      <c r="N31" s="18">
        <v>2194.02</v>
      </c>
      <c r="O31" s="124">
        <v>3000</v>
      </c>
      <c r="P31" s="124"/>
    </row>
    <row r="32" spans="1:16" x14ac:dyDescent="0.25">
      <c r="A32" s="881">
        <v>5500</v>
      </c>
      <c r="B32" s="63" t="s">
        <v>171</v>
      </c>
      <c r="C32" s="13"/>
      <c r="D32" s="13">
        <v>120.28</v>
      </c>
      <c r="E32" s="13">
        <v>12.41</v>
      </c>
      <c r="F32" s="13">
        <v>383.38</v>
      </c>
      <c r="G32" s="13"/>
      <c r="H32" s="13"/>
      <c r="I32" s="144"/>
      <c r="J32" s="144">
        <v>853.32</v>
      </c>
      <c r="K32" s="122"/>
      <c r="L32" s="144">
        <v>1191.97</v>
      </c>
      <c r="M32" s="122">
        <v>2000</v>
      </c>
      <c r="N32" s="13">
        <v>1441.96</v>
      </c>
      <c r="O32" s="122">
        <v>2000</v>
      </c>
      <c r="P32" s="122"/>
    </row>
    <row r="33" spans="1:20" x14ac:dyDescent="0.25">
      <c r="A33" s="881">
        <v>5581</v>
      </c>
      <c r="B33" s="12" t="s">
        <v>146</v>
      </c>
      <c r="C33" s="13">
        <v>200</v>
      </c>
      <c r="D33" s="13">
        <v>0</v>
      </c>
      <c r="E33" s="13"/>
      <c r="F33" s="13">
        <v>48.12</v>
      </c>
      <c r="G33" s="13">
        <v>152.79</v>
      </c>
      <c r="H33" s="13">
        <v>164.8</v>
      </c>
      <c r="I33" s="144">
        <v>290.49</v>
      </c>
      <c r="J33" s="144">
        <v>30</v>
      </c>
      <c r="K33" s="122">
        <v>300</v>
      </c>
      <c r="L33" s="144"/>
      <c r="M33" s="122">
        <v>300</v>
      </c>
      <c r="N33" s="13"/>
      <c r="O33" s="122">
        <v>300</v>
      </c>
      <c r="P33" s="122"/>
    </row>
    <row r="34" spans="1:20" x14ac:dyDescent="0.25">
      <c r="A34" s="881">
        <v>5710</v>
      </c>
      <c r="B34" s="12" t="s">
        <v>535</v>
      </c>
      <c r="C34" s="18">
        <v>1714.45</v>
      </c>
      <c r="D34" s="126">
        <v>899.49</v>
      </c>
      <c r="E34" s="126">
        <v>890.73</v>
      </c>
      <c r="F34" s="126">
        <v>2206.71</v>
      </c>
      <c r="G34" s="126">
        <v>1579.11</v>
      </c>
      <c r="H34" s="126">
        <v>1602.4</v>
      </c>
      <c r="I34" s="126">
        <v>1504.18</v>
      </c>
      <c r="J34" s="126">
        <v>1672.64</v>
      </c>
      <c r="K34" s="124">
        <v>2357</v>
      </c>
      <c r="L34" s="126">
        <v>1790.04</v>
      </c>
      <c r="M34" s="124">
        <v>2357</v>
      </c>
      <c r="N34" s="18">
        <v>970.62</v>
      </c>
      <c r="O34" s="124">
        <v>2357</v>
      </c>
      <c r="P34" s="124"/>
    </row>
    <row r="35" spans="1:20" x14ac:dyDescent="0.25">
      <c r="A35" s="881"/>
      <c r="B35" s="12" t="s">
        <v>1616</v>
      </c>
      <c r="C35" s="30"/>
      <c r="D35" s="320"/>
      <c r="E35" s="320"/>
      <c r="F35" s="320"/>
      <c r="G35" s="320"/>
      <c r="H35" s="320"/>
      <c r="I35" s="320"/>
      <c r="J35" s="320"/>
      <c r="K35" s="142"/>
      <c r="L35" s="320">
        <v>2544.12</v>
      </c>
      <c r="M35" s="142"/>
      <c r="N35" s="30"/>
      <c r="O35" s="142"/>
      <c r="P35" s="142"/>
    </row>
    <row r="36" spans="1:20" ht="13.8" thickBot="1" x14ac:dyDescent="0.3">
      <c r="A36" s="881">
        <v>5730</v>
      </c>
      <c r="B36" s="12" t="s">
        <v>147</v>
      </c>
      <c r="C36" s="15">
        <v>355</v>
      </c>
      <c r="D36" s="15">
        <v>260</v>
      </c>
      <c r="E36" s="15">
        <v>210</v>
      </c>
      <c r="F36" s="15">
        <v>504</v>
      </c>
      <c r="G36" s="15">
        <v>559</v>
      </c>
      <c r="H36" s="15">
        <v>584</v>
      </c>
      <c r="I36" s="318">
        <v>259</v>
      </c>
      <c r="J36" s="318">
        <v>155</v>
      </c>
      <c r="K36" s="123">
        <v>600</v>
      </c>
      <c r="L36" s="318">
        <v>160</v>
      </c>
      <c r="M36" s="123">
        <v>600</v>
      </c>
      <c r="N36" s="15">
        <v>100</v>
      </c>
      <c r="O36" s="123">
        <v>600</v>
      </c>
      <c r="P36" s="123"/>
    </row>
    <row r="37" spans="1:20" x14ac:dyDescent="0.25">
      <c r="A37" s="881"/>
      <c r="B37" s="17" t="s">
        <v>450</v>
      </c>
      <c r="C37" s="18">
        <f t="shared" ref="C37:N37" si="2">SUM(C24:C36)</f>
        <v>15951.410000000002</v>
      </c>
      <c r="D37" s="18">
        <f t="shared" si="2"/>
        <v>14118.229999999998</v>
      </c>
      <c r="E37" s="18">
        <f t="shared" si="2"/>
        <v>15527.18</v>
      </c>
      <c r="F37" s="18">
        <f>SUM(F24:F36)</f>
        <v>12563.309999999998</v>
      </c>
      <c r="G37" s="18">
        <f>SUM(G24:G36)</f>
        <v>8008.9</v>
      </c>
      <c r="H37" s="18">
        <f>SUM(H24:H36)</f>
        <v>7792.41</v>
      </c>
      <c r="I37" s="18">
        <f t="shared" si="2"/>
        <v>12824.119999999999</v>
      </c>
      <c r="J37" s="18">
        <f t="shared" ref="J37" si="3">SUM(J24:J36)</f>
        <v>17596.510000000002</v>
      </c>
      <c r="K37" s="19">
        <f>SUM(K24:K36)</f>
        <v>21997</v>
      </c>
      <c r="L37" s="18">
        <f t="shared" ref="L37:M37" si="4">SUM(L24:L36)</f>
        <v>21843.31</v>
      </c>
      <c r="M37" s="19">
        <f t="shared" si="4"/>
        <v>42797</v>
      </c>
      <c r="N37" s="18">
        <f t="shared" si="2"/>
        <v>22972.199999999997</v>
      </c>
      <c r="O37" s="19">
        <f>SUM(O24:O36)</f>
        <v>44297</v>
      </c>
      <c r="P37" s="19">
        <f>SUM(P24:P36)</f>
        <v>0</v>
      </c>
    </row>
    <row r="38" spans="1:20" x14ac:dyDescent="0.25">
      <c r="A38" s="881"/>
      <c r="B38" s="12"/>
      <c r="C38" s="13"/>
      <c r="D38" s="13"/>
      <c r="E38" s="13"/>
      <c r="F38" s="13"/>
      <c r="G38" s="13"/>
      <c r="H38" s="13"/>
      <c r="I38" s="13"/>
      <c r="J38" s="13"/>
      <c r="K38" s="14"/>
      <c r="L38" s="13"/>
      <c r="M38" s="14"/>
      <c r="N38" s="13"/>
      <c r="O38" s="14"/>
      <c r="P38" s="14"/>
    </row>
    <row r="39" spans="1:20" ht="13.8" thickBot="1" x14ac:dyDescent="0.3">
      <c r="A39" s="882"/>
      <c r="B39" s="20" t="s">
        <v>308</v>
      </c>
      <c r="C39" s="21">
        <f t="shared" ref="C39:N39" si="5">+C37+C22</f>
        <v>109258.64</v>
      </c>
      <c r="D39" s="21">
        <f t="shared" si="5"/>
        <v>120985.98999999999</v>
      </c>
      <c r="E39" s="21">
        <f t="shared" si="5"/>
        <v>119109.4</v>
      </c>
      <c r="F39" s="21">
        <f>+F37+F22</f>
        <v>131182.04999999999</v>
      </c>
      <c r="G39" s="21">
        <f>+G37+G22</f>
        <v>128828.22999999998</v>
      </c>
      <c r="H39" s="21">
        <f>+H37+H22</f>
        <v>132189.9</v>
      </c>
      <c r="I39" s="21">
        <f t="shared" si="5"/>
        <v>129404.04000000001</v>
      </c>
      <c r="J39" s="21">
        <f t="shared" ref="J39" si="6">+J37+J22</f>
        <v>122512.12</v>
      </c>
      <c r="K39" s="22">
        <f>+K37+K22</f>
        <v>135948</v>
      </c>
      <c r="L39" s="21">
        <f t="shared" ref="L39:M39" si="7">+L37+L22</f>
        <v>135821.25</v>
      </c>
      <c r="M39" s="22">
        <f t="shared" si="7"/>
        <v>160324</v>
      </c>
      <c r="N39" s="21">
        <f t="shared" si="5"/>
        <v>80256.100000000006</v>
      </c>
      <c r="O39" s="22">
        <f>+O37+O22</f>
        <v>163987</v>
      </c>
      <c r="P39" s="22">
        <f>+O39</f>
        <v>163987</v>
      </c>
    </row>
    <row r="40" spans="1:20" ht="13.8" thickTop="1" x14ac:dyDescent="0.25">
      <c r="A40" s="876"/>
      <c r="B40" s="4"/>
      <c r="C40" s="23"/>
      <c r="D40" s="23"/>
      <c r="E40" s="23"/>
      <c r="F40" s="23"/>
      <c r="G40" s="23"/>
      <c r="H40" s="23"/>
      <c r="I40" s="23"/>
      <c r="J40" s="23"/>
      <c r="K40" s="23"/>
      <c r="L40" s="23"/>
      <c r="M40" s="23"/>
      <c r="N40" s="27"/>
      <c r="O40" s="23"/>
      <c r="P40" s="77"/>
      <c r="Q40" s="23"/>
      <c r="R40" s="27"/>
      <c r="S40" s="206"/>
      <c r="T40" s="27"/>
    </row>
    <row r="41" spans="1:20" x14ac:dyDescent="0.25">
      <c r="A41" s="66">
        <v>44587</v>
      </c>
      <c r="B41" s="4" t="s">
        <v>1864</v>
      </c>
      <c r="C41" s="23"/>
      <c r="D41" s="23"/>
      <c r="E41" s="23"/>
      <c r="F41" s="23"/>
      <c r="G41" s="23"/>
      <c r="H41" s="23"/>
      <c r="I41" s="23"/>
      <c r="J41" s="23"/>
      <c r="K41" s="23"/>
      <c r="L41" s="23"/>
      <c r="M41" s="23"/>
      <c r="N41" s="27"/>
      <c r="O41" s="23"/>
      <c r="P41" s="77"/>
      <c r="Q41" s="23"/>
      <c r="R41" s="27"/>
      <c r="S41" s="206"/>
      <c r="T41" s="27"/>
    </row>
    <row r="42" spans="1:20" x14ac:dyDescent="0.25">
      <c r="A42" s="66">
        <v>44602</v>
      </c>
      <c r="B42" s="4" t="s">
        <v>1892</v>
      </c>
      <c r="C42" s="23"/>
      <c r="D42" s="23"/>
      <c r="E42" s="23"/>
      <c r="F42" s="23"/>
      <c r="G42" s="23"/>
      <c r="H42" s="23"/>
      <c r="I42" s="23"/>
      <c r="J42" s="23"/>
      <c r="K42" s="23"/>
      <c r="L42" s="23"/>
      <c r="M42" s="23"/>
      <c r="N42" s="27"/>
      <c r="O42" s="23"/>
      <c r="P42" s="77"/>
      <c r="Q42" s="23"/>
      <c r="R42" s="27"/>
      <c r="S42" s="206"/>
      <c r="T42" s="27"/>
    </row>
    <row r="43" spans="1:20" x14ac:dyDescent="0.25">
      <c r="A43" s="876"/>
      <c r="B43" s="4"/>
      <c r="C43" s="23"/>
      <c r="D43" s="23"/>
      <c r="E43" s="23"/>
      <c r="F43" s="23"/>
      <c r="G43" s="23"/>
      <c r="H43" s="23"/>
      <c r="I43" s="23"/>
      <c r="J43" s="23"/>
      <c r="K43" s="23"/>
      <c r="L43" s="23"/>
      <c r="M43" s="23"/>
      <c r="N43" s="27"/>
      <c r="O43" s="105"/>
      <c r="P43" s="77"/>
      <c r="Q43" s="27"/>
      <c r="R43" s="27"/>
      <c r="S43" s="206"/>
      <c r="T43" s="27"/>
    </row>
    <row r="44" spans="1:20" ht="13.8" thickBot="1" x14ac:dyDescent="0.3">
      <c r="A44" s="876" t="s">
        <v>527</v>
      </c>
      <c r="B44" s="4"/>
    </row>
    <row r="45" spans="1:20" ht="13.8" thickTop="1" x14ac:dyDescent="0.25">
      <c r="A45" s="883" t="s">
        <v>891</v>
      </c>
      <c r="B45" s="107"/>
      <c r="K45" s="149" t="s">
        <v>85</v>
      </c>
      <c r="L45" s="156" t="s">
        <v>33</v>
      </c>
      <c r="M45" s="168"/>
      <c r="N45" s="158" t="s">
        <v>579</v>
      </c>
      <c r="O45"/>
      <c r="P45" s="212"/>
      <c r="Q45"/>
      <c r="R45" s="1"/>
    </row>
    <row r="46" spans="1:20" ht="13.8" thickBot="1" x14ac:dyDescent="0.3">
      <c r="A46" s="884" t="s">
        <v>892</v>
      </c>
      <c r="B46" s="109" t="s">
        <v>528</v>
      </c>
      <c r="K46" s="343">
        <v>44743</v>
      </c>
      <c r="L46" s="159" t="s">
        <v>576</v>
      </c>
      <c r="M46" s="160" t="s">
        <v>34</v>
      </c>
      <c r="N46" s="160" t="s">
        <v>106</v>
      </c>
      <c r="O46" s="234"/>
      <c r="P46" s="234"/>
      <c r="Q46" s="234" t="s">
        <v>350</v>
      </c>
      <c r="R46" s="1"/>
    </row>
    <row r="47" spans="1:20" ht="13.8" thickTop="1" x14ac:dyDescent="0.25">
      <c r="A47" s="171"/>
      <c r="B47" s="110" t="s">
        <v>563</v>
      </c>
      <c r="K47" s="19" t="s">
        <v>1071</v>
      </c>
      <c r="L47" s="155"/>
      <c r="M47" s="18"/>
      <c r="N47" s="155">
        <f>+'NAGE &amp; Non-Union Wages'!I10</f>
        <v>71396</v>
      </c>
      <c r="O47" s="171"/>
      <c r="P47" s="885"/>
      <c r="Q47" s="2"/>
      <c r="R47" s="1"/>
    </row>
    <row r="48" spans="1:20" x14ac:dyDescent="0.25">
      <c r="A48" s="171"/>
      <c r="B48" s="63" t="s">
        <v>1863</v>
      </c>
      <c r="K48" s="14" t="s">
        <v>787</v>
      </c>
      <c r="L48" s="166">
        <f>+'NAGE &amp; Non-Union Wages'!K5</f>
        <v>21.92</v>
      </c>
      <c r="M48" s="18">
        <v>1820</v>
      </c>
      <c r="N48" s="155">
        <f>ROUND((+L48*M48),2)</f>
        <v>39894.400000000001</v>
      </c>
      <c r="O48" s="171"/>
      <c r="P48" s="885"/>
      <c r="Q48" s="2">
        <v>500</v>
      </c>
      <c r="R48" s="224"/>
    </row>
    <row r="49" spans="1:20" x14ac:dyDescent="0.25">
      <c r="A49" s="876"/>
      <c r="B49" s="580"/>
      <c r="K49" s="233"/>
      <c r="L49" s="37"/>
      <c r="M49" s="18"/>
      <c r="N49" s="155"/>
      <c r="O49" s="57"/>
      <c r="P49" s="27"/>
      <c r="Q49" s="2"/>
      <c r="R49" s="1"/>
    </row>
    <row r="50" spans="1:20" x14ac:dyDescent="0.25">
      <c r="A50" s="876"/>
      <c r="B50" s="95"/>
      <c r="C50" s="23"/>
      <c r="D50" s="23"/>
      <c r="E50" s="23"/>
      <c r="I50" s="23"/>
      <c r="J50" s="23"/>
      <c r="K50" s="23"/>
      <c r="L50" s="23"/>
      <c r="M50" s="23"/>
      <c r="N50" s="27"/>
      <c r="O50" s="23"/>
      <c r="P50" s="23"/>
      <c r="Q50" s="23"/>
      <c r="R50" s="27"/>
      <c r="S50" s="27"/>
      <c r="T50" s="27"/>
    </row>
    <row r="51" spans="1:20" x14ac:dyDescent="0.25">
      <c r="A51" s="876"/>
      <c r="B51" s="4"/>
      <c r="C51" s="23"/>
      <c r="D51" s="23"/>
      <c r="E51" s="23"/>
      <c r="I51" s="23"/>
      <c r="J51" s="23"/>
      <c r="K51" s="23"/>
      <c r="L51" s="23"/>
      <c r="M51" s="23"/>
      <c r="N51" s="27"/>
      <c r="O51" s="23"/>
      <c r="P51" s="23"/>
      <c r="Q51" s="23"/>
      <c r="R51" s="27"/>
      <c r="S51" s="27"/>
      <c r="T51" s="27"/>
    </row>
    <row r="52" spans="1:20" ht="13.8" thickBot="1" x14ac:dyDescent="0.3">
      <c r="A52" s="876"/>
      <c r="B52" s="4"/>
      <c r="C52" s="23"/>
      <c r="D52" s="23"/>
      <c r="E52" s="23"/>
      <c r="I52" s="23"/>
      <c r="J52" s="23"/>
      <c r="K52" s="23"/>
      <c r="L52" s="23"/>
      <c r="M52" s="23"/>
      <c r="N52" s="27"/>
      <c r="O52" s="23"/>
      <c r="P52" s="23"/>
      <c r="Q52" s="23"/>
      <c r="R52" s="27"/>
      <c r="S52" s="27"/>
      <c r="T52" s="27"/>
    </row>
    <row r="53" spans="1:20" ht="13.8" thickTop="1" x14ac:dyDescent="0.25">
      <c r="A53" s="893"/>
      <c r="B53" s="452"/>
      <c r="C53" s="453" t="s">
        <v>127</v>
      </c>
      <c r="D53" s="454" t="s">
        <v>127</v>
      </c>
      <c r="E53" s="454" t="s">
        <v>127</v>
      </c>
      <c r="K53" s="455" t="s">
        <v>547</v>
      </c>
      <c r="L53" s="456" t="s">
        <v>9</v>
      </c>
      <c r="M53" s="457" t="s">
        <v>1073</v>
      </c>
      <c r="N53" s="456" t="s">
        <v>686</v>
      </c>
      <c r="O53" s="458"/>
      <c r="P53" s="457"/>
      <c r="Q53" s="23"/>
      <c r="R53" s="27"/>
      <c r="S53" s="27"/>
      <c r="T53" s="27"/>
    </row>
    <row r="54" spans="1:20" ht="13.8" thickBot="1" x14ac:dyDescent="0.3">
      <c r="A54" s="894" t="s">
        <v>128</v>
      </c>
      <c r="B54" s="459"/>
      <c r="C54" s="460" t="s">
        <v>347</v>
      </c>
      <c r="D54" s="460" t="s">
        <v>722</v>
      </c>
      <c r="E54" s="461" t="s">
        <v>737</v>
      </c>
      <c r="K54" s="462" t="s">
        <v>909</v>
      </c>
      <c r="L54" s="462" t="s">
        <v>910</v>
      </c>
      <c r="M54" s="461" t="s">
        <v>1075</v>
      </c>
      <c r="N54" s="463" t="s">
        <v>1075</v>
      </c>
      <c r="O54" s="464" t="s">
        <v>1074</v>
      </c>
      <c r="P54" s="462"/>
      <c r="Q54" s="23"/>
      <c r="R54" s="27"/>
      <c r="S54" s="27"/>
      <c r="T54" s="27"/>
    </row>
    <row r="55" spans="1:20" ht="13.8" thickTop="1" x14ac:dyDescent="0.25">
      <c r="A55" s="906"/>
      <c r="B55" s="487"/>
      <c r="C55" s="488"/>
      <c r="D55" s="489"/>
      <c r="E55" s="489"/>
      <c r="K55" s="490"/>
      <c r="L55" s="468"/>
      <c r="M55" s="500"/>
      <c r="N55" s="477"/>
      <c r="O55" s="470"/>
      <c r="P55" s="471"/>
      <c r="Q55" s="23"/>
      <c r="R55" s="27"/>
      <c r="S55" s="27"/>
      <c r="T55" s="27"/>
    </row>
    <row r="56" spans="1:20" x14ac:dyDescent="0.25">
      <c r="A56" s="907">
        <v>5111</v>
      </c>
      <c r="B56" s="472" t="s">
        <v>1720</v>
      </c>
      <c r="C56" s="476">
        <v>62644</v>
      </c>
      <c r="D56" s="476">
        <f>129+62937</f>
        <v>63066</v>
      </c>
      <c r="E56" s="476">
        <v>64970</v>
      </c>
      <c r="K56" s="475">
        <f>+M9</f>
        <v>109127</v>
      </c>
      <c r="L56" s="497">
        <f>+O9</f>
        <v>111290</v>
      </c>
      <c r="M56" s="500">
        <f t="shared" ref="M56:M79" si="8">+L56-K56</f>
        <v>2163</v>
      </c>
      <c r="N56" s="477">
        <f t="shared" ref="N56:N79" si="9">IF(K56+L56&lt;&gt;0,IF(K56&lt;&gt;0,IF(M56&lt;&gt;0,ROUND((+M56/K56),4),""),1),"")</f>
        <v>1.9800000000000002E-2</v>
      </c>
      <c r="O56" s="470" t="s">
        <v>1721</v>
      </c>
      <c r="P56" s="471"/>
      <c r="Q56" s="23"/>
      <c r="R56" s="4"/>
      <c r="S56" s="4"/>
      <c r="T56" s="4"/>
    </row>
    <row r="57" spans="1:20" x14ac:dyDescent="0.25">
      <c r="A57" s="907">
        <v>5113</v>
      </c>
      <c r="B57" s="472" t="s">
        <v>1059</v>
      </c>
      <c r="C57" s="476">
        <v>11965.6</v>
      </c>
      <c r="D57" s="476">
        <v>22300.3</v>
      </c>
      <c r="E57" s="476">
        <v>16105.72</v>
      </c>
      <c r="K57" s="475">
        <f>+M10</f>
        <v>0</v>
      </c>
      <c r="L57" s="497">
        <f>+O10</f>
        <v>0</v>
      </c>
      <c r="M57" s="500">
        <f t="shared" si="8"/>
        <v>0</v>
      </c>
      <c r="N57" s="477" t="str">
        <f t="shared" si="9"/>
        <v/>
      </c>
      <c r="O57" s="470"/>
      <c r="P57" s="471"/>
      <c r="Q57" s="23"/>
      <c r="R57" s="4"/>
      <c r="S57" s="4"/>
      <c r="T57" s="4"/>
    </row>
    <row r="58" spans="1:20" x14ac:dyDescent="0.25">
      <c r="A58" s="907">
        <v>5114</v>
      </c>
      <c r="B58" s="472" t="s">
        <v>740</v>
      </c>
      <c r="C58" s="476">
        <v>12727.84</v>
      </c>
      <c r="D58" s="476">
        <v>14529.42</v>
      </c>
      <c r="E58" s="476">
        <v>15036.46</v>
      </c>
      <c r="K58" s="475">
        <f>+M11</f>
        <v>0</v>
      </c>
      <c r="L58" s="497">
        <f>+O11</f>
        <v>0</v>
      </c>
      <c r="M58" s="500">
        <f t="shared" si="8"/>
        <v>0</v>
      </c>
      <c r="N58" s="477" t="str">
        <f t="shared" si="9"/>
        <v/>
      </c>
      <c r="O58" s="470"/>
      <c r="P58" s="471"/>
      <c r="Q58" s="23"/>
      <c r="R58" s="4"/>
      <c r="S58" s="4"/>
      <c r="T58" s="4"/>
    </row>
    <row r="59" spans="1:20" x14ac:dyDescent="0.25">
      <c r="A59" s="907">
        <v>5116</v>
      </c>
      <c r="B59" s="472" t="s">
        <v>533</v>
      </c>
      <c r="C59" s="476">
        <v>1500</v>
      </c>
      <c r="D59" s="476">
        <v>1500</v>
      </c>
      <c r="E59" s="476">
        <v>1500</v>
      </c>
      <c r="K59" s="475">
        <f>+M12</f>
        <v>1575</v>
      </c>
      <c r="L59" s="497">
        <f>+O12</f>
        <v>1575</v>
      </c>
      <c r="M59" s="500">
        <f t="shared" si="8"/>
        <v>0</v>
      </c>
      <c r="N59" s="477" t="str">
        <f t="shared" si="9"/>
        <v/>
      </c>
      <c r="O59" s="470"/>
      <c r="P59" s="471"/>
      <c r="Q59" s="23"/>
      <c r="R59" s="4"/>
      <c r="S59" s="4"/>
      <c r="T59" s="4"/>
    </row>
    <row r="60" spans="1:20" x14ac:dyDescent="0.25">
      <c r="A60" s="907">
        <v>5117</v>
      </c>
      <c r="B60" s="472" t="s">
        <v>739</v>
      </c>
      <c r="C60" s="478">
        <v>500</v>
      </c>
      <c r="D60" s="478">
        <v>0</v>
      </c>
      <c r="E60" s="478">
        <v>500</v>
      </c>
      <c r="K60" s="475">
        <f>+M13</f>
        <v>1050</v>
      </c>
      <c r="L60" s="497">
        <f>+O13</f>
        <v>1050</v>
      </c>
      <c r="M60" s="500">
        <f t="shared" si="8"/>
        <v>0</v>
      </c>
      <c r="N60" s="477" t="str">
        <f t="shared" si="9"/>
        <v/>
      </c>
      <c r="O60" s="470"/>
      <c r="P60" s="477"/>
      <c r="Q60" s="23"/>
      <c r="R60" s="4"/>
      <c r="S60" s="4"/>
      <c r="T60" s="4"/>
    </row>
    <row r="61" spans="1:20" x14ac:dyDescent="0.25">
      <c r="A61" s="907"/>
      <c r="B61" s="472" t="s">
        <v>561</v>
      </c>
      <c r="C61" s="478">
        <v>1000</v>
      </c>
      <c r="D61" s="478">
        <v>1500</v>
      </c>
      <c r="E61" s="478">
        <v>1500</v>
      </c>
      <c r="K61" s="475">
        <f t="shared" ref="K61:K66" si="10">+M15</f>
        <v>1765</v>
      </c>
      <c r="L61" s="497">
        <f t="shared" ref="L61:L67" si="11">+O15</f>
        <v>1765</v>
      </c>
      <c r="M61" s="500">
        <f t="shared" si="8"/>
        <v>0</v>
      </c>
      <c r="N61" s="477" t="str">
        <f t="shared" si="9"/>
        <v/>
      </c>
      <c r="O61" s="470"/>
      <c r="P61" s="477"/>
      <c r="Q61" s="23"/>
      <c r="R61" s="4"/>
      <c r="S61" s="4"/>
      <c r="T61" s="4"/>
    </row>
    <row r="62" spans="1:20" x14ac:dyDescent="0.25">
      <c r="A62" s="907"/>
      <c r="B62" s="472" t="s">
        <v>531</v>
      </c>
      <c r="C62" s="478">
        <v>1000</v>
      </c>
      <c r="D62" s="478">
        <v>1500</v>
      </c>
      <c r="E62" s="478">
        <v>1500</v>
      </c>
      <c r="K62" s="475">
        <f t="shared" si="10"/>
        <v>1605</v>
      </c>
      <c r="L62" s="497">
        <f t="shared" si="11"/>
        <v>1605</v>
      </c>
      <c r="M62" s="500">
        <f t="shared" si="8"/>
        <v>0</v>
      </c>
      <c r="N62" s="477" t="str">
        <f t="shared" si="9"/>
        <v/>
      </c>
      <c r="O62" s="470"/>
      <c r="P62" s="477"/>
      <c r="Q62" s="23"/>
      <c r="R62" s="4"/>
      <c r="S62" s="4"/>
      <c r="T62" s="4"/>
    </row>
    <row r="63" spans="1:20" x14ac:dyDescent="0.25">
      <c r="A63" s="907">
        <v>5115</v>
      </c>
      <c r="B63" s="472" t="s">
        <v>532</v>
      </c>
      <c r="C63" s="476">
        <v>1000</v>
      </c>
      <c r="D63" s="476">
        <v>1500</v>
      </c>
      <c r="E63" s="476">
        <v>1500</v>
      </c>
      <c r="K63" s="475">
        <f t="shared" si="10"/>
        <v>1605</v>
      </c>
      <c r="L63" s="497">
        <f t="shared" si="11"/>
        <v>1605</v>
      </c>
      <c r="M63" s="500">
        <f t="shared" si="8"/>
        <v>0</v>
      </c>
      <c r="N63" s="477" t="str">
        <f t="shared" si="9"/>
        <v/>
      </c>
      <c r="O63" s="470"/>
      <c r="P63" s="477"/>
      <c r="Q63" s="23"/>
      <c r="R63" s="4"/>
      <c r="S63" s="4"/>
      <c r="T63" s="4"/>
    </row>
    <row r="64" spans="1:20" x14ac:dyDescent="0.25">
      <c r="A64" s="907">
        <v>5144</v>
      </c>
      <c r="B64" s="472" t="s">
        <v>157</v>
      </c>
      <c r="C64" s="478"/>
      <c r="D64" s="478"/>
      <c r="E64" s="478"/>
      <c r="K64" s="475">
        <f t="shared" si="10"/>
        <v>500</v>
      </c>
      <c r="L64" s="497">
        <f t="shared" si="11"/>
        <v>500</v>
      </c>
      <c r="M64" s="500">
        <f t="shared" si="8"/>
        <v>0</v>
      </c>
      <c r="N64" s="477" t="str">
        <f t="shared" si="9"/>
        <v/>
      </c>
      <c r="O64" s="470"/>
      <c r="P64" s="471"/>
      <c r="Q64" s="23"/>
      <c r="R64" s="4"/>
      <c r="S64" s="4"/>
      <c r="T64" s="4"/>
    </row>
    <row r="65" spans="1:20" ht="13.8" thickBot="1" x14ac:dyDescent="0.3">
      <c r="A65" s="907">
        <v>5145</v>
      </c>
      <c r="B65" s="472" t="s">
        <v>603</v>
      </c>
      <c r="C65" s="474">
        <v>300.04000000000002</v>
      </c>
      <c r="D65" s="474">
        <v>300.04000000000002</v>
      </c>
      <c r="E65" s="474">
        <v>300.04000000000002</v>
      </c>
      <c r="K65" s="475">
        <f t="shared" si="10"/>
        <v>300</v>
      </c>
      <c r="L65" s="497">
        <f t="shared" si="11"/>
        <v>300</v>
      </c>
      <c r="M65" s="500">
        <f t="shared" si="8"/>
        <v>0</v>
      </c>
      <c r="N65" s="477" t="str">
        <f t="shared" si="9"/>
        <v/>
      </c>
      <c r="O65" s="470"/>
      <c r="P65" s="471"/>
      <c r="Q65" s="23"/>
      <c r="R65" s="4"/>
      <c r="S65" s="4"/>
      <c r="T65" s="4"/>
    </row>
    <row r="66" spans="1:20" x14ac:dyDescent="0.25">
      <c r="A66" s="907">
        <v>5193</v>
      </c>
      <c r="B66" s="472" t="s">
        <v>1226</v>
      </c>
      <c r="C66" s="478"/>
      <c r="D66" s="478"/>
      <c r="E66" s="478"/>
      <c r="K66" s="475">
        <f t="shared" si="10"/>
        <v>0</v>
      </c>
      <c r="L66" s="497">
        <f t="shared" si="11"/>
        <v>0</v>
      </c>
      <c r="M66" s="500">
        <f t="shared" si="8"/>
        <v>0</v>
      </c>
      <c r="N66" s="477" t="str">
        <f t="shared" si="9"/>
        <v/>
      </c>
      <c r="O66" s="470"/>
      <c r="P66" s="471"/>
      <c r="Q66" s="23"/>
      <c r="R66" s="4"/>
      <c r="S66" s="4"/>
      <c r="T66" s="4"/>
    </row>
    <row r="67" spans="1:20" x14ac:dyDescent="0.25">
      <c r="A67" s="907">
        <v>5194</v>
      </c>
      <c r="B67" s="472" t="s">
        <v>1227</v>
      </c>
      <c r="C67" s="478"/>
      <c r="D67" s="478"/>
      <c r="E67" s="478"/>
      <c r="K67" s="1040"/>
      <c r="L67" s="497">
        <f t="shared" si="11"/>
        <v>0</v>
      </c>
      <c r="M67" s="500">
        <f>+L67-K66</f>
        <v>0</v>
      </c>
      <c r="N67" s="477" t="str">
        <f t="shared" si="9"/>
        <v/>
      </c>
      <c r="O67" s="470"/>
      <c r="P67" s="471"/>
      <c r="Q67" s="23"/>
      <c r="R67" s="4"/>
      <c r="S67" s="4"/>
      <c r="T67" s="4"/>
    </row>
    <row r="68" spans="1:20" x14ac:dyDescent="0.25">
      <c r="A68" s="907">
        <v>5314</v>
      </c>
      <c r="B68" s="472" t="s">
        <v>139</v>
      </c>
      <c r="C68" s="476">
        <v>844</v>
      </c>
      <c r="D68" s="476">
        <v>760</v>
      </c>
      <c r="E68" s="476">
        <v>560</v>
      </c>
      <c r="K68" s="469">
        <f t="shared" ref="K68:K78" si="12">+M24</f>
        <v>1500</v>
      </c>
      <c r="L68" s="497">
        <f t="shared" ref="L68:L78" si="13">+O24</f>
        <v>1500</v>
      </c>
      <c r="M68" s="500">
        <f t="shared" si="8"/>
        <v>0</v>
      </c>
      <c r="N68" s="477" t="str">
        <f t="shared" si="9"/>
        <v/>
      </c>
      <c r="O68" s="470"/>
      <c r="P68" s="471"/>
      <c r="Q68" s="23"/>
      <c r="R68" s="4"/>
      <c r="S68" s="4"/>
      <c r="T68" s="4"/>
    </row>
    <row r="69" spans="1:20" x14ac:dyDescent="0.25">
      <c r="A69" s="907">
        <v>5315</v>
      </c>
      <c r="B69" s="472" t="s">
        <v>31</v>
      </c>
      <c r="C69" s="476">
        <v>8934.75</v>
      </c>
      <c r="D69" s="476">
        <v>7969.5</v>
      </c>
      <c r="E69" s="476">
        <v>3688.75</v>
      </c>
      <c r="K69" s="469">
        <f t="shared" si="12"/>
        <v>28600</v>
      </c>
      <c r="L69" s="497">
        <f t="shared" si="13"/>
        <v>28600</v>
      </c>
      <c r="M69" s="500">
        <f t="shared" si="8"/>
        <v>0</v>
      </c>
      <c r="N69" s="477" t="str">
        <f t="shared" si="9"/>
        <v/>
      </c>
      <c r="O69" s="470" t="s">
        <v>1723</v>
      </c>
      <c r="P69" s="471"/>
      <c r="Q69" s="23"/>
      <c r="R69" s="4"/>
      <c r="S69" s="4"/>
      <c r="T69" s="4"/>
    </row>
    <row r="70" spans="1:20" x14ac:dyDescent="0.25">
      <c r="A70" s="907">
        <v>5341</v>
      </c>
      <c r="B70" s="472" t="s">
        <v>141</v>
      </c>
      <c r="C70" s="476">
        <v>618.01</v>
      </c>
      <c r="D70" s="476">
        <v>604.71</v>
      </c>
      <c r="E70" s="476">
        <v>786.39</v>
      </c>
      <c r="K70" s="469">
        <f t="shared" si="12"/>
        <v>1440</v>
      </c>
      <c r="L70" s="497">
        <f t="shared" si="13"/>
        <v>1440</v>
      </c>
      <c r="M70" s="500">
        <f t="shared" si="8"/>
        <v>0</v>
      </c>
      <c r="N70" s="477" t="str">
        <f t="shared" si="9"/>
        <v/>
      </c>
      <c r="O70" s="470"/>
      <c r="P70" s="471"/>
      <c r="Q70" s="23"/>
      <c r="R70" s="4"/>
      <c r="S70" s="4"/>
      <c r="T70" s="4"/>
    </row>
    <row r="71" spans="1:20" x14ac:dyDescent="0.25">
      <c r="A71" s="907">
        <v>5344</v>
      </c>
      <c r="B71" s="472" t="s">
        <v>142</v>
      </c>
      <c r="C71" s="476">
        <v>372.41</v>
      </c>
      <c r="D71" s="476">
        <v>723.38</v>
      </c>
      <c r="E71" s="476">
        <v>1380.06</v>
      </c>
      <c r="K71" s="469">
        <f t="shared" si="12"/>
        <v>800</v>
      </c>
      <c r="L71" s="497">
        <f t="shared" si="13"/>
        <v>800</v>
      </c>
      <c r="M71" s="500">
        <f t="shared" si="8"/>
        <v>0</v>
      </c>
      <c r="N71" s="477" t="str">
        <f t="shared" si="9"/>
        <v/>
      </c>
      <c r="O71" s="470"/>
      <c r="P71" s="471"/>
      <c r="Q71" s="23"/>
      <c r="R71" s="4"/>
      <c r="S71" s="4"/>
      <c r="T71" s="4"/>
    </row>
    <row r="72" spans="1:20" x14ac:dyDescent="0.25">
      <c r="A72" s="907">
        <v>5345</v>
      </c>
      <c r="B72" s="472" t="s">
        <v>143</v>
      </c>
      <c r="C72" s="476">
        <v>377.02</v>
      </c>
      <c r="D72" s="476">
        <v>0</v>
      </c>
      <c r="E72" s="476">
        <v>843.5</v>
      </c>
      <c r="K72" s="469">
        <f t="shared" si="12"/>
        <v>200</v>
      </c>
      <c r="L72" s="497">
        <f t="shared" si="13"/>
        <v>200</v>
      </c>
      <c r="M72" s="500">
        <f t="shared" si="8"/>
        <v>0</v>
      </c>
      <c r="N72" s="477" t="str">
        <f t="shared" si="9"/>
        <v/>
      </c>
      <c r="O72" s="470"/>
      <c r="P72" s="471"/>
      <c r="Q72" s="23"/>
      <c r="R72" s="4"/>
      <c r="S72" s="4"/>
      <c r="T72" s="4"/>
    </row>
    <row r="73" spans="1:20" x14ac:dyDescent="0.25">
      <c r="A73" s="907">
        <v>5350</v>
      </c>
      <c r="B73" s="472" t="s">
        <v>1262</v>
      </c>
      <c r="C73" s="476"/>
      <c r="D73" s="476"/>
      <c r="E73" s="476"/>
      <c r="K73" s="469">
        <f t="shared" si="12"/>
        <v>3000</v>
      </c>
      <c r="L73" s="497">
        <f t="shared" si="13"/>
        <v>3000</v>
      </c>
      <c r="M73" s="500">
        <f t="shared" si="8"/>
        <v>0</v>
      </c>
      <c r="N73" s="477" t="str">
        <f t="shared" si="9"/>
        <v/>
      </c>
      <c r="O73" s="470"/>
      <c r="P73" s="471"/>
      <c r="Q73" s="23"/>
      <c r="R73" s="4"/>
      <c r="S73" s="4"/>
      <c r="T73" s="4"/>
    </row>
    <row r="74" spans="1:20" x14ac:dyDescent="0.25">
      <c r="A74" s="907">
        <v>5380</v>
      </c>
      <c r="B74" s="472" t="s">
        <v>182</v>
      </c>
      <c r="C74" s="476">
        <v>614.07000000000005</v>
      </c>
      <c r="D74" s="476">
        <v>674.22</v>
      </c>
      <c r="E74" s="476">
        <v>1414.08</v>
      </c>
      <c r="K74" s="469">
        <f t="shared" si="12"/>
        <v>500</v>
      </c>
      <c r="L74" s="497">
        <f t="shared" si="13"/>
        <v>500</v>
      </c>
      <c r="M74" s="500">
        <f t="shared" si="8"/>
        <v>0</v>
      </c>
      <c r="N74" s="477" t="str">
        <f t="shared" si="9"/>
        <v/>
      </c>
      <c r="O74" s="470"/>
      <c r="P74" s="471"/>
      <c r="Q74" s="23"/>
      <c r="R74" s="4"/>
      <c r="S74" s="4"/>
      <c r="T74" s="4"/>
    </row>
    <row r="75" spans="1:20" x14ac:dyDescent="0.25">
      <c r="A75" s="907">
        <v>5420</v>
      </c>
      <c r="B75" s="472" t="s">
        <v>144</v>
      </c>
      <c r="C75" s="468">
        <v>1921.7</v>
      </c>
      <c r="D75" s="468">
        <v>2106.65</v>
      </c>
      <c r="E75" s="468">
        <v>5741.26</v>
      </c>
      <c r="K75" s="469">
        <f t="shared" si="12"/>
        <v>1500</v>
      </c>
      <c r="L75" s="497">
        <f t="shared" si="13"/>
        <v>3000</v>
      </c>
      <c r="M75" s="500">
        <f t="shared" si="8"/>
        <v>1500</v>
      </c>
      <c r="N75" s="477">
        <f t="shared" si="9"/>
        <v>1</v>
      </c>
      <c r="O75" s="470" t="s">
        <v>1722</v>
      </c>
      <c r="P75" s="471"/>
      <c r="Q75" s="23"/>
      <c r="R75" s="4"/>
      <c r="S75" s="4"/>
      <c r="T75" s="4"/>
    </row>
    <row r="76" spans="1:20" hidden="1" x14ac:dyDescent="0.25">
      <c r="A76" s="907">
        <v>5500</v>
      </c>
      <c r="B76" s="501" t="s">
        <v>171</v>
      </c>
      <c r="C76" s="476"/>
      <c r="D76" s="476">
        <v>120.28</v>
      </c>
      <c r="E76" s="476">
        <v>12.41</v>
      </c>
      <c r="K76" s="469">
        <f t="shared" si="12"/>
        <v>2000</v>
      </c>
      <c r="L76" s="497">
        <f t="shared" si="13"/>
        <v>2000</v>
      </c>
      <c r="M76" s="500">
        <f t="shared" si="8"/>
        <v>0</v>
      </c>
      <c r="N76" s="477" t="str">
        <f t="shared" si="9"/>
        <v/>
      </c>
      <c r="O76" s="470"/>
      <c r="P76" s="471"/>
      <c r="Q76" s="23"/>
      <c r="R76" s="4"/>
      <c r="S76" s="4"/>
      <c r="T76" s="4"/>
    </row>
    <row r="77" spans="1:20" x14ac:dyDescent="0.25">
      <c r="A77" s="907">
        <v>5581</v>
      </c>
      <c r="B77" s="472" t="s">
        <v>146</v>
      </c>
      <c r="C77" s="476">
        <v>200</v>
      </c>
      <c r="D77" s="476">
        <v>0</v>
      </c>
      <c r="E77" s="476"/>
      <c r="K77" s="469">
        <f t="shared" si="12"/>
        <v>300</v>
      </c>
      <c r="L77" s="497">
        <f t="shared" si="13"/>
        <v>300</v>
      </c>
      <c r="M77" s="500">
        <f t="shared" si="8"/>
        <v>0</v>
      </c>
      <c r="N77" s="477" t="str">
        <f t="shared" si="9"/>
        <v/>
      </c>
      <c r="O77" s="470"/>
      <c r="P77" s="471"/>
      <c r="Q77" s="23"/>
      <c r="R77" s="4"/>
      <c r="S77" s="4"/>
      <c r="T77" s="4"/>
    </row>
    <row r="78" spans="1:20" x14ac:dyDescent="0.25">
      <c r="A78" s="907">
        <v>5710</v>
      </c>
      <c r="B78" s="472" t="s">
        <v>535</v>
      </c>
      <c r="C78" s="468">
        <v>1714.45</v>
      </c>
      <c r="D78" s="468">
        <v>899.49</v>
      </c>
      <c r="E78" s="468">
        <v>890.73</v>
      </c>
      <c r="K78" s="469">
        <f t="shared" si="12"/>
        <v>2357</v>
      </c>
      <c r="L78" s="497">
        <f t="shared" si="13"/>
        <v>2357</v>
      </c>
      <c r="M78" s="500">
        <f t="shared" si="8"/>
        <v>0</v>
      </c>
      <c r="N78" s="477" t="str">
        <f t="shared" si="9"/>
        <v/>
      </c>
      <c r="O78" s="470"/>
      <c r="P78" s="471"/>
      <c r="Q78" s="23"/>
      <c r="R78" s="4"/>
      <c r="S78" s="4"/>
      <c r="T78" s="4"/>
    </row>
    <row r="79" spans="1:20" ht="13.8" thickBot="1" x14ac:dyDescent="0.3">
      <c r="A79" s="907">
        <v>5730</v>
      </c>
      <c r="B79" s="472" t="s">
        <v>147</v>
      </c>
      <c r="C79" s="474">
        <v>355</v>
      </c>
      <c r="D79" s="474">
        <v>260</v>
      </c>
      <c r="E79" s="474">
        <v>210</v>
      </c>
      <c r="K79" s="469">
        <f>+M36</f>
        <v>600</v>
      </c>
      <c r="L79" s="497">
        <f>+O36</f>
        <v>600</v>
      </c>
      <c r="M79" s="500">
        <f t="shared" si="8"/>
        <v>0</v>
      </c>
      <c r="N79" s="477" t="str">
        <f t="shared" si="9"/>
        <v/>
      </c>
      <c r="O79" s="470"/>
      <c r="P79" s="471"/>
      <c r="Q79" s="23"/>
      <c r="R79" s="4"/>
      <c r="S79" s="4"/>
      <c r="T79" s="4"/>
    </row>
    <row r="80" spans="1:20" x14ac:dyDescent="0.25">
      <c r="A80" s="876"/>
      <c r="B80" s="4"/>
      <c r="C80" s="23"/>
      <c r="D80" s="23"/>
      <c r="E80" s="23"/>
      <c r="F80" s="23"/>
      <c r="G80" s="23"/>
      <c r="K80" s="23"/>
      <c r="L80" s="23"/>
      <c r="M80" s="23"/>
      <c r="N80" s="4"/>
      <c r="O80" s="23"/>
      <c r="P80" s="23"/>
      <c r="Q80" s="23"/>
      <c r="R80" s="4"/>
      <c r="S80" s="4"/>
      <c r="T80" s="4"/>
    </row>
    <row r="81" spans="2:14" x14ac:dyDescent="0.25">
      <c r="B81" s="4" t="s">
        <v>1363</v>
      </c>
      <c r="C81" s="23"/>
      <c r="D81" s="23"/>
      <c r="E81" s="23"/>
      <c r="F81" s="23"/>
      <c r="G81" s="23"/>
      <c r="K81" s="742">
        <f>SUM(K56:K79)</f>
        <v>160324</v>
      </c>
      <c r="L81" s="742">
        <f>SUM(L56:L79)</f>
        <v>163987</v>
      </c>
      <c r="M81" s="202">
        <f>+L81-K81</f>
        <v>3663</v>
      </c>
      <c r="N81" s="743">
        <f>IF(K81+L81&lt;&gt;0,IF(K81&lt;&gt;0,IF(M81&lt;&gt;0,ROUND((+M81/K81),4),""),1),"")</f>
        <v>2.2800000000000001E-2</v>
      </c>
    </row>
    <row r="82" spans="2:14" x14ac:dyDescent="0.25">
      <c r="C82" s="114"/>
    </row>
    <row r="83" spans="2:14" x14ac:dyDescent="0.25">
      <c r="C83" s="114"/>
    </row>
    <row r="84" spans="2:14" x14ac:dyDescent="0.25">
      <c r="C84" s="114"/>
    </row>
    <row r="85" spans="2:14" x14ac:dyDescent="0.25">
      <c r="C85" s="114"/>
    </row>
    <row r="86" spans="2:14" x14ac:dyDescent="0.25">
      <c r="C86" s="114"/>
    </row>
    <row r="87" spans="2:14" x14ac:dyDescent="0.25">
      <c r="C87" s="114"/>
    </row>
    <row r="88" spans="2:14" x14ac:dyDescent="0.25">
      <c r="C88" s="114"/>
    </row>
    <row r="89" spans="2:14" x14ac:dyDescent="0.25">
      <c r="C89" s="114"/>
    </row>
    <row r="90" spans="2:14" x14ac:dyDescent="0.25">
      <c r="C90" s="114"/>
    </row>
    <row r="91" spans="2:14" x14ac:dyDescent="0.25">
      <c r="C91" s="114"/>
    </row>
    <row r="92" spans="2:14" x14ac:dyDescent="0.25">
      <c r="C92" s="114"/>
    </row>
    <row r="93" spans="2:14" x14ac:dyDescent="0.25">
      <c r="C93" s="114"/>
    </row>
    <row r="94" spans="2:14" x14ac:dyDescent="0.25">
      <c r="C94" s="114"/>
    </row>
    <row r="95" spans="2:14" x14ac:dyDescent="0.25">
      <c r="C95" s="114"/>
    </row>
    <row r="96" spans="2:14" x14ac:dyDescent="0.25">
      <c r="C96" s="114"/>
    </row>
    <row r="97" spans="3:3" x14ac:dyDescent="0.25">
      <c r="C97" s="114"/>
    </row>
    <row r="98" spans="3:3" x14ac:dyDescent="0.25">
      <c r="C98" s="114"/>
    </row>
    <row r="99" spans="3:3" x14ac:dyDescent="0.25">
      <c r="C99" s="114"/>
    </row>
    <row r="100" spans="3:3" x14ac:dyDescent="0.25">
      <c r="C100" s="114"/>
    </row>
    <row r="101" spans="3:3" x14ac:dyDescent="0.25">
      <c r="C101" s="114"/>
    </row>
    <row r="102" spans="3:3" x14ac:dyDescent="0.25">
      <c r="C102" s="114"/>
    </row>
    <row r="103" spans="3:3" x14ac:dyDescent="0.25">
      <c r="C103" s="114"/>
    </row>
    <row r="104" spans="3:3" x14ac:dyDescent="0.25">
      <c r="C104" s="114"/>
    </row>
    <row r="105" spans="3:3" x14ac:dyDescent="0.25">
      <c r="C105" s="114"/>
    </row>
    <row r="106" spans="3:3" x14ac:dyDescent="0.25">
      <c r="C106" s="114"/>
    </row>
    <row r="107" spans="3:3" x14ac:dyDescent="0.25">
      <c r="C107" s="114"/>
    </row>
  </sheetData>
  <phoneticPr fontId="0" type="noConversion"/>
  <hyperlinks>
    <hyperlink ref="A1" location="'Working Budget with funding det'!A1" display="Main " xr:uid="{00000000-0004-0000-2A00-000000000000}"/>
    <hyperlink ref="B1" location="'Table of Contents'!A1" display="TOC" xr:uid="{00000000-0004-0000-2A00-000001000000}"/>
  </hyperlinks>
  <pageMargins left="0.75" right="0.75" top="1" bottom="1" header="0.5" footer="0.5"/>
  <pageSetup scale="91" fitToHeight="2" orientation="landscape" horizontalDpi="300" verticalDpi="300" r:id="rId1"/>
  <headerFooter alignWithMargins="0">
    <oddFooter>&amp;L&amp;D     &amp;T&amp;C&amp;F&amp;R&amp;A   &amp;P</oddFooter>
  </headerFooter>
  <rowBreaks count="1" manualBreakCount="1">
    <brk id="43" max="16"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92D050"/>
    <pageSetUpPr fitToPage="1"/>
  </sheetPr>
  <dimension ref="A1:U162"/>
  <sheetViews>
    <sheetView topLeftCell="A23" zoomScaleNormal="100" workbookViewId="0">
      <selection activeCell="A32" sqref="A32"/>
    </sheetView>
  </sheetViews>
  <sheetFormatPr defaultRowHeight="13.2" x14ac:dyDescent="0.25"/>
  <cols>
    <col min="1" max="1" width="10.6640625" style="885" customWidth="1"/>
    <col min="2" max="2" width="36.6640625" customWidth="1"/>
    <col min="3" max="3" width="14.44140625" style="1" hidden="1" customWidth="1"/>
    <col min="4" max="10" width="14.44140625" style="114" hidden="1" customWidth="1"/>
    <col min="11" max="13" width="14.44140625" style="114" customWidth="1"/>
    <col min="14" max="14" width="14.44140625" customWidth="1"/>
    <col min="15" max="17" width="14.44140625" style="1" customWidth="1"/>
    <col min="18" max="20" width="14.44140625" customWidth="1"/>
    <col min="21" max="21" width="14.6640625" style="2" customWidth="1"/>
  </cols>
  <sheetData>
    <row r="1" spans="1:20" x14ac:dyDescent="0.25">
      <c r="A1" s="874" t="s">
        <v>1021</v>
      </c>
      <c r="B1" s="371" t="s">
        <v>1348</v>
      </c>
      <c r="Q1"/>
    </row>
    <row r="2" spans="1:20" ht="13.8" x14ac:dyDescent="0.25">
      <c r="A2" s="875" t="s">
        <v>263</v>
      </c>
      <c r="B2" s="45"/>
      <c r="E2" s="141"/>
      <c r="I2" s="141" t="s">
        <v>257</v>
      </c>
      <c r="J2" s="141"/>
      <c r="K2" s="141"/>
      <c r="L2" s="141"/>
      <c r="M2" s="141"/>
      <c r="N2" s="61" t="s">
        <v>309</v>
      </c>
      <c r="P2" s="46" t="s">
        <v>499</v>
      </c>
    </row>
    <row r="3" spans="1:20" ht="13.8" thickBot="1" x14ac:dyDescent="0.3">
      <c r="A3" s="876"/>
      <c r="B3" s="4"/>
      <c r="C3" s="23"/>
      <c r="D3" s="23"/>
      <c r="E3" s="23"/>
      <c r="F3" s="23"/>
      <c r="G3" s="23"/>
      <c r="H3" s="23"/>
      <c r="I3" s="23"/>
      <c r="J3" s="23"/>
      <c r="K3" s="23"/>
      <c r="L3" s="23"/>
      <c r="M3" s="23"/>
      <c r="N3" s="4"/>
      <c r="O3" s="23"/>
      <c r="P3" s="4"/>
      <c r="Q3" s="4"/>
      <c r="T3" s="4"/>
    </row>
    <row r="4" spans="1:20" ht="13.8" thickTop="1" x14ac:dyDescent="0.25">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t="s">
        <v>910</v>
      </c>
    </row>
    <row r="5" spans="1:20" x14ac:dyDescent="0.25">
      <c r="A5" s="878"/>
      <c r="B5" s="209"/>
      <c r="C5" s="127"/>
      <c r="D5" s="87"/>
      <c r="E5" s="113"/>
      <c r="F5" s="87"/>
      <c r="G5" s="87"/>
      <c r="H5" s="113"/>
      <c r="I5" s="290"/>
      <c r="J5" s="290"/>
      <c r="K5" s="290"/>
      <c r="L5" s="290"/>
      <c r="M5" s="290"/>
      <c r="N5" s="113" t="s">
        <v>515</v>
      </c>
      <c r="O5" s="88" t="s">
        <v>7</v>
      </c>
      <c r="P5" s="203" t="s">
        <v>782</v>
      </c>
    </row>
    <row r="6" spans="1:20" x14ac:dyDescent="0.25">
      <c r="A6" s="878"/>
      <c r="B6" s="209"/>
      <c r="C6" s="127"/>
      <c r="D6" s="127"/>
      <c r="E6" s="127"/>
      <c r="F6" s="127"/>
      <c r="G6" s="127"/>
      <c r="H6" s="127"/>
      <c r="I6" s="88"/>
      <c r="J6" s="88"/>
      <c r="K6" s="88"/>
      <c r="L6" s="88"/>
      <c r="M6" s="88"/>
      <c r="N6" s="127"/>
      <c r="O6" s="88" t="s">
        <v>8</v>
      </c>
      <c r="P6" s="47" t="s">
        <v>543</v>
      </c>
    </row>
    <row r="7" spans="1:20"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44561</v>
      </c>
      <c r="O7" s="9" t="s">
        <v>9</v>
      </c>
      <c r="P7" s="9" t="s">
        <v>546</v>
      </c>
    </row>
    <row r="8" spans="1:20" ht="13.8" thickTop="1" x14ac:dyDescent="0.25">
      <c r="A8" s="908"/>
      <c r="B8" s="210"/>
      <c r="C8" s="132"/>
      <c r="D8" s="18"/>
      <c r="E8" s="18"/>
      <c r="F8" s="18"/>
      <c r="G8" s="18"/>
      <c r="H8" s="18"/>
      <c r="I8" s="19"/>
      <c r="J8" s="19"/>
      <c r="K8" s="19"/>
      <c r="L8" s="19"/>
      <c r="M8" s="19"/>
      <c r="N8" s="18"/>
      <c r="O8" s="19"/>
      <c r="P8" s="19"/>
    </row>
    <row r="9" spans="1:20" x14ac:dyDescent="0.25">
      <c r="A9" s="881">
        <v>5113</v>
      </c>
      <c r="B9" s="110" t="s">
        <v>701</v>
      </c>
      <c r="C9" s="130">
        <v>16942.54</v>
      </c>
      <c r="D9" s="13">
        <v>25004.240000000002</v>
      </c>
      <c r="E9" s="13">
        <v>25781.62</v>
      </c>
      <c r="F9" s="13">
        <v>26924.799999999999</v>
      </c>
      <c r="G9" s="13">
        <v>27587.43</v>
      </c>
      <c r="H9" s="13">
        <v>28836.080000000002</v>
      </c>
      <c r="I9" s="13">
        <v>30144.400000000001</v>
      </c>
      <c r="J9" s="13">
        <v>31112.55</v>
      </c>
      <c r="K9" s="14">
        <v>32335</v>
      </c>
      <c r="L9" s="13">
        <v>32181.3</v>
      </c>
      <c r="M9" s="14">
        <v>33496</v>
      </c>
      <c r="N9" s="13">
        <v>16101.17</v>
      </c>
      <c r="O9" s="14">
        <f>ROUND((+N32),0)</f>
        <v>41780</v>
      </c>
      <c r="P9" s="14"/>
    </row>
    <row r="10" spans="1:20" ht="13.8" thickBot="1" x14ac:dyDescent="0.3">
      <c r="A10" s="881">
        <v>5144</v>
      </c>
      <c r="B10" s="110" t="s">
        <v>157</v>
      </c>
      <c r="C10" s="131"/>
      <c r="D10" s="15"/>
      <c r="E10" s="15"/>
      <c r="F10" s="15"/>
      <c r="G10" s="15">
        <v>300</v>
      </c>
      <c r="H10" s="15">
        <v>300</v>
      </c>
      <c r="I10" s="15">
        <v>300</v>
      </c>
      <c r="J10" s="15">
        <v>500</v>
      </c>
      <c r="K10" s="16">
        <v>500</v>
      </c>
      <c r="L10" s="15">
        <v>500</v>
      </c>
      <c r="M10" s="16">
        <v>500</v>
      </c>
      <c r="N10" s="15">
        <v>500</v>
      </c>
      <c r="O10" s="16">
        <v>500</v>
      </c>
      <c r="P10" s="16"/>
    </row>
    <row r="11" spans="1:20" x14ac:dyDescent="0.25">
      <c r="A11" s="881"/>
      <c r="B11" s="64" t="s">
        <v>130</v>
      </c>
      <c r="C11" s="132">
        <f>SUM(C9:C9)</f>
        <v>16942.54</v>
      </c>
      <c r="D11" s="18">
        <f>SUM(D9:D9)</f>
        <v>25004.240000000002</v>
      </c>
      <c r="E11" s="18">
        <f>SUM(E9:E9)</f>
        <v>25781.62</v>
      </c>
      <c r="F11" s="18">
        <f>+F9</f>
        <v>26924.799999999999</v>
      </c>
      <c r="G11" s="18">
        <f t="shared" ref="G11:O11" si="0">SUM(G9:G10)</f>
        <v>27887.43</v>
      </c>
      <c r="H11" s="18">
        <f t="shared" si="0"/>
        <v>29136.080000000002</v>
      </c>
      <c r="I11" s="18">
        <f t="shared" si="0"/>
        <v>30444.400000000001</v>
      </c>
      <c r="J11" s="18">
        <f t="shared" si="0"/>
        <v>31612.55</v>
      </c>
      <c r="K11" s="36">
        <f t="shared" si="0"/>
        <v>32835</v>
      </c>
      <c r="L11" s="18">
        <f t="shared" si="0"/>
        <v>32681.3</v>
      </c>
      <c r="M11" s="36">
        <f t="shared" si="0"/>
        <v>33996</v>
      </c>
      <c r="N11" s="18">
        <f t="shared" si="0"/>
        <v>16601.169999999998</v>
      </c>
      <c r="O11" s="36">
        <f t="shared" si="0"/>
        <v>42280</v>
      </c>
      <c r="P11" s="36">
        <f>SUM(P9:P9)</f>
        <v>0</v>
      </c>
    </row>
    <row r="12" spans="1:20" x14ac:dyDescent="0.25">
      <c r="A12" s="881"/>
      <c r="B12" s="63"/>
      <c r="C12" s="130"/>
      <c r="D12" s="13"/>
      <c r="E12" s="13"/>
      <c r="F12" s="13"/>
      <c r="G12" s="13"/>
      <c r="H12" s="13"/>
      <c r="I12" s="13"/>
      <c r="J12" s="13"/>
      <c r="K12" s="122"/>
      <c r="L12" s="144"/>
      <c r="M12" s="122"/>
      <c r="N12" s="13"/>
      <c r="O12" s="122"/>
      <c r="P12" s="122"/>
      <c r="Q12" s="224"/>
    </row>
    <row r="13" spans="1:20" x14ac:dyDescent="0.25">
      <c r="A13" s="881">
        <v>5211</v>
      </c>
      <c r="B13" s="63" t="s">
        <v>192</v>
      </c>
      <c r="C13" s="130">
        <v>3508.51</v>
      </c>
      <c r="D13" s="13">
        <v>3502.18</v>
      </c>
      <c r="E13" s="13">
        <v>3083.86</v>
      </c>
      <c r="F13" s="13">
        <v>3317.15</v>
      </c>
      <c r="G13" s="13">
        <v>3337.49</v>
      </c>
      <c r="H13" s="13">
        <v>3800.35</v>
      </c>
      <c r="I13" s="13">
        <v>3907.67</v>
      </c>
      <c r="J13" s="13">
        <v>3193.71</v>
      </c>
      <c r="K13" s="14">
        <v>3600</v>
      </c>
      <c r="L13" s="13">
        <v>2104.21</v>
      </c>
      <c r="M13" s="14">
        <v>3850</v>
      </c>
      <c r="N13" s="13">
        <v>1134.18</v>
      </c>
      <c r="O13" s="14">
        <v>4235</v>
      </c>
      <c r="P13" s="14"/>
    </row>
    <row r="14" spans="1:20" x14ac:dyDescent="0.25">
      <c r="A14" s="881">
        <v>5214</v>
      </c>
      <c r="B14" s="63" t="s">
        <v>717</v>
      </c>
      <c r="C14" s="130">
        <v>1669.01</v>
      </c>
      <c r="D14" s="13">
        <v>1925.82</v>
      </c>
      <c r="E14" s="13">
        <v>1944.03</v>
      </c>
      <c r="F14" s="13">
        <v>1383.3</v>
      </c>
      <c r="G14" s="13">
        <v>1632</v>
      </c>
      <c r="H14" s="13">
        <v>1728.79</v>
      </c>
      <c r="I14" s="13">
        <v>1865.25</v>
      </c>
      <c r="J14" s="13">
        <v>1523.32</v>
      </c>
      <c r="K14" s="14">
        <v>1500</v>
      </c>
      <c r="L14" s="13">
        <v>1208.83</v>
      </c>
      <c r="M14" s="14">
        <v>1500</v>
      </c>
      <c r="N14" s="13">
        <v>234.27</v>
      </c>
      <c r="O14" s="14">
        <v>1650</v>
      </c>
      <c r="P14" s="14"/>
    </row>
    <row r="15" spans="1:20" x14ac:dyDescent="0.25">
      <c r="A15" s="881">
        <v>5231</v>
      </c>
      <c r="B15" s="63" t="s">
        <v>194</v>
      </c>
      <c r="C15" s="130"/>
      <c r="D15" s="13"/>
      <c r="E15" s="13"/>
      <c r="F15" s="13"/>
      <c r="G15" s="13">
        <v>91.8</v>
      </c>
      <c r="H15" s="13">
        <v>67.2</v>
      </c>
      <c r="I15" s="13">
        <v>79.599999999999994</v>
      </c>
      <c r="J15" s="13">
        <v>96</v>
      </c>
      <c r="K15" s="14">
        <v>120</v>
      </c>
      <c r="L15" s="13">
        <v>66</v>
      </c>
      <c r="M15" s="14">
        <v>120</v>
      </c>
      <c r="N15" s="13">
        <v>35</v>
      </c>
      <c r="O15" s="14">
        <v>120</v>
      </c>
      <c r="P15" s="14"/>
    </row>
    <row r="16" spans="1:20" x14ac:dyDescent="0.25">
      <c r="A16" s="881">
        <v>5232</v>
      </c>
      <c r="B16" s="63" t="s">
        <v>195</v>
      </c>
      <c r="C16" s="130"/>
      <c r="D16" s="13"/>
      <c r="E16" s="13"/>
      <c r="F16" s="13"/>
      <c r="G16" s="13"/>
      <c r="H16" s="13">
        <v>563.04</v>
      </c>
      <c r="I16" s="13">
        <v>367.88</v>
      </c>
      <c r="J16" s="13">
        <v>457.28</v>
      </c>
      <c r="K16" s="14">
        <v>455</v>
      </c>
      <c r="L16" s="13">
        <v>407.68</v>
      </c>
      <c r="M16" s="14">
        <v>455</v>
      </c>
      <c r="N16" s="13">
        <v>66.23</v>
      </c>
      <c r="O16" s="14">
        <v>455</v>
      </c>
      <c r="P16" s="14"/>
    </row>
    <row r="17" spans="1:21" x14ac:dyDescent="0.25">
      <c r="A17" s="881">
        <v>5242</v>
      </c>
      <c r="B17" s="63" t="s">
        <v>197</v>
      </c>
      <c r="C17" s="130">
        <v>545.99</v>
      </c>
      <c r="D17" s="13">
        <v>2105</v>
      </c>
      <c r="E17" s="13">
        <v>2382</v>
      </c>
      <c r="F17" s="13">
        <v>988.18</v>
      </c>
      <c r="G17" s="13">
        <v>7888.47</v>
      </c>
      <c r="H17" s="13">
        <v>2341.9899999999998</v>
      </c>
      <c r="I17" s="13">
        <v>1901</v>
      </c>
      <c r="J17" s="13">
        <v>1086.27</v>
      </c>
      <c r="K17" s="14">
        <v>2000</v>
      </c>
      <c r="L17" s="13">
        <v>2161</v>
      </c>
      <c r="M17" s="14">
        <v>2000</v>
      </c>
      <c r="N17" s="13"/>
      <c r="O17" s="14">
        <v>2000</v>
      </c>
      <c r="P17" s="14"/>
    </row>
    <row r="18" spans="1:21" x14ac:dyDescent="0.25">
      <c r="A18" s="881">
        <v>5251</v>
      </c>
      <c r="B18" s="63" t="s">
        <v>167</v>
      </c>
      <c r="C18" s="130">
        <v>149</v>
      </c>
      <c r="D18" s="13">
        <v>156.53</v>
      </c>
      <c r="E18" s="13">
        <v>244.8</v>
      </c>
      <c r="F18" s="13">
        <v>1950.99</v>
      </c>
      <c r="G18" s="13">
        <v>86.97</v>
      </c>
      <c r="H18" s="13">
        <v>842</v>
      </c>
      <c r="I18" s="13">
        <v>89.99</v>
      </c>
      <c r="J18" s="13">
        <v>479.98</v>
      </c>
      <c r="K18" s="14">
        <v>850</v>
      </c>
      <c r="L18" s="13"/>
      <c r="M18" s="14">
        <v>400</v>
      </c>
      <c r="N18" s="13"/>
      <c r="O18" s="14">
        <v>400</v>
      </c>
      <c r="P18" s="14"/>
    </row>
    <row r="19" spans="1:21" x14ac:dyDescent="0.25">
      <c r="A19" s="881">
        <v>5279</v>
      </c>
      <c r="B19" s="12" t="s">
        <v>1229</v>
      </c>
      <c r="C19" s="13">
        <v>3920</v>
      </c>
      <c r="D19" s="13">
        <v>3690</v>
      </c>
      <c r="E19" s="13">
        <v>2650</v>
      </c>
      <c r="F19" s="13">
        <v>2640</v>
      </c>
      <c r="G19" s="13">
        <v>913.5</v>
      </c>
      <c r="H19" s="13">
        <v>3436.5</v>
      </c>
      <c r="I19" s="13">
        <v>4705.25</v>
      </c>
      <c r="J19" s="13">
        <v>3538</v>
      </c>
      <c r="K19" s="14">
        <v>4770</v>
      </c>
      <c r="L19" s="13">
        <v>145</v>
      </c>
      <c r="M19" s="14">
        <v>4000</v>
      </c>
      <c r="N19" s="13">
        <v>101.5</v>
      </c>
      <c r="O19" s="14">
        <v>4000</v>
      </c>
      <c r="P19" s="14"/>
    </row>
    <row r="20" spans="1:21" hidden="1" x14ac:dyDescent="0.25">
      <c r="A20" s="881">
        <v>5344</v>
      </c>
      <c r="B20" s="12" t="s">
        <v>142</v>
      </c>
      <c r="C20" s="13">
        <v>272.74</v>
      </c>
      <c r="D20" s="13"/>
      <c r="E20" s="13">
        <v>386.06</v>
      </c>
      <c r="F20" s="13"/>
      <c r="G20" s="13"/>
      <c r="H20" s="13">
        <v>50</v>
      </c>
      <c r="I20" s="13"/>
      <c r="J20" s="13"/>
      <c r="K20" s="14"/>
      <c r="L20" s="13"/>
      <c r="M20" s="14"/>
      <c r="N20" s="13"/>
      <c r="O20" s="14"/>
      <c r="P20" s="14"/>
    </row>
    <row r="21" spans="1:21" x14ac:dyDescent="0.25">
      <c r="A21" s="881">
        <v>5451</v>
      </c>
      <c r="B21" s="12" t="s">
        <v>202</v>
      </c>
      <c r="C21" s="13"/>
      <c r="D21" s="13"/>
      <c r="E21" s="13"/>
      <c r="F21" s="13"/>
      <c r="G21" s="13"/>
      <c r="H21" s="13">
        <v>198.99</v>
      </c>
      <c r="I21" s="13">
        <v>0</v>
      </c>
      <c r="J21" s="13"/>
      <c r="K21" s="14">
        <v>200</v>
      </c>
      <c r="L21" s="13"/>
      <c r="M21" s="14">
        <v>200</v>
      </c>
      <c r="N21" s="13"/>
      <c r="O21" s="14">
        <v>200</v>
      </c>
      <c r="P21" s="14"/>
    </row>
    <row r="22" spans="1:21" x14ac:dyDescent="0.25">
      <c r="A22" s="881">
        <v>5586</v>
      </c>
      <c r="B22" s="12" t="s">
        <v>182</v>
      </c>
      <c r="C22" s="13"/>
      <c r="D22" s="13">
        <v>314.31</v>
      </c>
      <c r="E22" s="13">
        <v>1371.15</v>
      </c>
      <c r="F22" s="13">
        <v>930.03</v>
      </c>
      <c r="G22" s="13">
        <v>590.49</v>
      </c>
      <c r="H22" s="13">
        <v>684.99</v>
      </c>
      <c r="I22" s="13">
        <v>527.96</v>
      </c>
      <c r="J22" s="13"/>
      <c r="K22" s="14">
        <v>500</v>
      </c>
      <c r="L22" s="13"/>
      <c r="M22" s="14">
        <v>0</v>
      </c>
      <c r="N22" s="13"/>
      <c r="O22" s="14">
        <v>0</v>
      </c>
      <c r="P22" s="14"/>
    </row>
    <row r="23" spans="1:21" ht="13.8" thickBot="1" x14ac:dyDescent="0.3">
      <c r="A23" s="881">
        <v>5710</v>
      </c>
      <c r="B23" s="12" t="s">
        <v>535</v>
      </c>
      <c r="C23" s="15">
        <v>205</v>
      </c>
      <c r="D23" s="15">
        <v>46.92</v>
      </c>
      <c r="E23" s="15"/>
      <c r="F23" s="15">
        <v>111.22</v>
      </c>
      <c r="G23" s="15">
        <v>29.16</v>
      </c>
      <c r="H23" s="15">
        <v>28.89</v>
      </c>
      <c r="I23" s="15">
        <v>0</v>
      </c>
      <c r="J23" s="15">
        <v>144.09</v>
      </c>
      <c r="K23" s="16">
        <v>150</v>
      </c>
      <c r="L23" s="15"/>
      <c r="M23" s="16">
        <v>0</v>
      </c>
      <c r="N23" s="15"/>
      <c r="O23" s="16">
        <v>0</v>
      </c>
      <c r="P23" s="16"/>
    </row>
    <row r="24" spans="1:21" x14ac:dyDescent="0.25">
      <c r="A24" s="881"/>
      <c r="B24" s="17" t="s">
        <v>449</v>
      </c>
      <c r="C24" s="13">
        <f t="shared" ref="C24:N24" si="1">SUM(C13:C23)</f>
        <v>10270.25</v>
      </c>
      <c r="D24" s="13">
        <f t="shared" si="1"/>
        <v>11740.759999999998</v>
      </c>
      <c r="E24" s="13">
        <f t="shared" si="1"/>
        <v>12061.9</v>
      </c>
      <c r="F24" s="13">
        <f>SUM(F13:F23)</f>
        <v>11320.869999999999</v>
      </c>
      <c r="G24" s="13">
        <f>SUM(G13:G23)</f>
        <v>14569.88</v>
      </c>
      <c r="H24" s="13">
        <f>SUM(H13:H23)</f>
        <v>13742.739999999998</v>
      </c>
      <c r="I24" s="13">
        <f t="shared" si="1"/>
        <v>13444.600000000002</v>
      </c>
      <c r="J24" s="13">
        <f t="shared" ref="J24" si="2">SUM(J13:J23)</f>
        <v>10518.65</v>
      </c>
      <c r="K24" s="14">
        <f>SUM(K13:K23)</f>
        <v>14145</v>
      </c>
      <c r="L24" s="13">
        <f t="shared" ref="L24:M24" si="3">SUM(L13:L23)</f>
        <v>6092.7199999999993</v>
      </c>
      <c r="M24" s="14">
        <f t="shared" si="3"/>
        <v>12525</v>
      </c>
      <c r="N24" s="13">
        <f t="shared" si="1"/>
        <v>1571.18</v>
      </c>
      <c r="O24" s="14">
        <f>SUM(O13:O23)</f>
        <v>13060</v>
      </c>
      <c r="P24" s="14">
        <f>SUM(P13:P23)</f>
        <v>0</v>
      </c>
    </row>
    <row r="25" spans="1:21" x14ac:dyDescent="0.25">
      <c r="A25" s="881"/>
      <c r="B25" s="12"/>
      <c r="C25" s="13"/>
      <c r="D25" s="13"/>
      <c r="E25" s="13"/>
      <c r="F25" s="13"/>
      <c r="G25" s="13"/>
      <c r="H25" s="13"/>
      <c r="I25" s="13"/>
      <c r="J25" s="13"/>
      <c r="K25" s="14"/>
      <c r="L25" s="13"/>
      <c r="M25" s="14"/>
      <c r="N25" s="13"/>
      <c r="O25" s="14"/>
      <c r="P25" s="14"/>
    </row>
    <row r="26" spans="1:21" ht="13.8" thickBot="1" x14ac:dyDescent="0.3">
      <c r="A26" s="882"/>
      <c r="B26" s="20" t="s">
        <v>310</v>
      </c>
      <c r="C26" s="21">
        <f t="shared" ref="C26:N26" si="4">+C24+C11</f>
        <v>27212.79</v>
      </c>
      <c r="D26" s="21">
        <f t="shared" si="4"/>
        <v>36745</v>
      </c>
      <c r="E26" s="21">
        <f t="shared" si="4"/>
        <v>37843.519999999997</v>
      </c>
      <c r="F26" s="21">
        <f>+F24+F11</f>
        <v>38245.67</v>
      </c>
      <c r="G26" s="21">
        <f>+G24+G11</f>
        <v>42457.31</v>
      </c>
      <c r="H26" s="21">
        <f>+H24+H11</f>
        <v>42878.82</v>
      </c>
      <c r="I26" s="21">
        <f t="shared" si="4"/>
        <v>43889</v>
      </c>
      <c r="J26" s="21">
        <f t="shared" ref="J26" si="5">+J24+J11</f>
        <v>42131.199999999997</v>
      </c>
      <c r="K26" s="22">
        <f>+K24+K11</f>
        <v>46980</v>
      </c>
      <c r="L26" s="21">
        <f t="shared" ref="L26:M26" si="6">+L24+L11</f>
        <v>38774.019999999997</v>
      </c>
      <c r="M26" s="22">
        <f t="shared" si="6"/>
        <v>46521</v>
      </c>
      <c r="N26" s="21">
        <f t="shared" si="4"/>
        <v>18172.349999999999</v>
      </c>
      <c r="O26" s="22">
        <f>+O24+O11</f>
        <v>55340</v>
      </c>
      <c r="P26" s="22">
        <f>+O26</f>
        <v>55340</v>
      </c>
    </row>
    <row r="27" spans="1:21" ht="16.2" thickTop="1" x14ac:dyDescent="0.3">
      <c r="A27" s="876"/>
      <c r="B27" s="4"/>
      <c r="C27" s="23"/>
      <c r="D27" s="23"/>
      <c r="E27" s="23"/>
      <c r="F27" s="23"/>
      <c r="G27" s="23"/>
      <c r="H27" s="23"/>
      <c r="I27" s="23"/>
      <c r="J27" s="23"/>
      <c r="K27" s="23"/>
      <c r="L27" s="23"/>
      <c r="M27" s="23"/>
      <c r="N27" s="27"/>
      <c r="O27" s="23"/>
      <c r="P27" s="77"/>
      <c r="Q27" s="23"/>
      <c r="R27" s="27"/>
      <c r="S27" s="208"/>
      <c r="T27" s="27"/>
    </row>
    <row r="28" spans="1:21" x14ac:dyDescent="0.25">
      <c r="A28" s="876"/>
      <c r="B28" s="4" t="s">
        <v>527</v>
      </c>
      <c r="C28" s="23"/>
      <c r="N28" s="1"/>
      <c r="O28"/>
      <c r="P28" s="77"/>
      <c r="Q28" s="27"/>
      <c r="R28" s="1"/>
      <c r="U28"/>
    </row>
    <row r="29" spans="1:21" ht="13.8" thickBot="1" x14ac:dyDescent="0.3">
      <c r="A29" s="876"/>
      <c r="B29" s="4"/>
      <c r="C29" s="23"/>
      <c r="N29" s="1"/>
      <c r="O29"/>
      <c r="P29"/>
      <c r="Q29"/>
      <c r="R29" s="1"/>
      <c r="U29"/>
    </row>
    <row r="30" spans="1:21" ht="13.8" thickTop="1" x14ac:dyDescent="0.25">
      <c r="A30" s="883" t="s">
        <v>891</v>
      </c>
      <c r="B30" s="107"/>
      <c r="H30" s="149" t="s">
        <v>85</v>
      </c>
      <c r="K30" s="316" t="s">
        <v>85</v>
      </c>
      <c r="L30" s="156" t="s">
        <v>575</v>
      </c>
      <c r="M30" s="168" t="s">
        <v>580</v>
      </c>
      <c r="N30" s="158" t="s">
        <v>579</v>
      </c>
      <c r="O30"/>
      <c r="P30" s="212"/>
      <c r="Q30"/>
    </row>
    <row r="31" spans="1:21" ht="13.8" thickBot="1" x14ac:dyDescent="0.3">
      <c r="A31" s="884" t="s">
        <v>892</v>
      </c>
      <c r="B31" s="109" t="s">
        <v>528</v>
      </c>
      <c r="H31" s="160" t="s">
        <v>578</v>
      </c>
      <c r="K31" s="343">
        <v>44743</v>
      </c>
      <c r="L31" s="159" t="s">
        <v>576</v>
      </c>
      <c r="M31" s="160" t="s">
        <v>574</v>
      </c>
      <c r="N31" s="160" t="s">
        <v>106</v>
      </c>
      <c r="O31" s="234"/>
      <c r="P31" s="234"/>
      <c r="Q31" s="234" t="s">
        <v>350</v>
      </c>
    </row>
    <row r="32" spans="1:21" ht="13.8" thickTop="1" x14ac:dyDescent="0.25">
      <c r="A32" s="171"/>
      <c r="B32" s="63" t="s">
        <v>1724</v>
      </c>
      <c r="H32" s="13" t="s">
        <v>1319</v>
      </c>
      <c r="K32" s="13" t="s">
        <v>1637</v>
      </c>
      <c r="L32" s="13">
        <f>+'NAGE &amp; Non-Union Wages'!K18</f>
        <v>38.26</v>
      </c>
      <c r="M32" s="14">
        <v>1092</v>
      </c>
      <c r="N32" s="166">
        <f>ROUND((+L32*M32),2)</f>
        <v>41779.919999999998</v>
      </c>
      <c r="O32" s="171"/>
      <c r="P32" s="885"/>
      <c r="Q32" s="2">
        <v>500</v>
      </c>
    </row>
    <row r="33" spans="1:21" x14ac:dyDescent="0.25">
      <c r="A33" s="876"/>
      <c r="B33" s="4" t="s">
        <v>693</v>
      </c>
      <c r="C33" s="23"/>
      <c r="D33" s="23"/>
      <c r="E33" s="23"/>
      <c r="G33" s="23"/>
      <c r="H33" s="23"/>
      <c r="I33" s="23"/>
      <c r="J33" s="23"/>
      <c r="K33" s="23"/>
      <c r="L33" s="23"/>
      <c r="M33" s="23"/>
      <c r="N33" s="27"/>
      <c r="O33" s="23"/>
      <c r="P33" s="23"/>
      <c r="Q33" s="23"/>
      <c r="R33" s="27"/>
      <c r="S33" s="27"/>
      <c r="T33" s="27"/>
    </row>
    <row r="34" spans="1:21" ht="13.8" thickBot="1" x14ac:dyDescent="0.3">
      <c r="A34" s="876"/>
      <c r="B34" s="4"/>
      <c r="C34" s="23"/>
      <c r="D34" s="23"/>
      <c r="E34" s="23"/>
      <c r="G34" s="23"/>
      <c r="H34" s="23"/>
      <c r="I34" s="23"/>
      <c r="J34" s="23"/>
      <c r="K34" s="23"/>
      <c r="L34" s="23"/>
      <c r="M34" s="23"/>
      <c r="N34" s="27"/>
      <c r="O34" s="23"/>
      <c r="P34" s="23"/>
      <c r="Q34" s="23"/>
      <c r="R34" s="27"/>
      <c r="S34" s="27"/>
      <c r="T34" s="27"/>
    </row>
    <row r="35" spans="1:21" ht="13.8" thickTop="1" x14ac:dyDescent="0.25">
      <c r="A35" s="893"/>
      <c r="B35" s="452"/>
      <c r="C35" s="453" t="s">
        <v>127</v>
      </c>
      <c r="D35" s="454" t="s">
        <v>127</v>
      </c>
      <c r="E35" s="454" t="s">
        <v>127</v>
      </c>
      <c r="K35" s="455" t="s">
        <v>547</v>
      </c>
      <c r="L35" s="456" t="s">
        <v>9</v>
      </c>
      <c r="M35" s="457" t="s">
        <v>1073</v>
      </c>
      <c r="N35" s="456" t="s">
        <v>686</v>
      </c>
      <c r="O35" s="458"/>
      <c r="P35" s="457"/>
      <c r="Q35" s="23"/>
      <c r="R35" s="27"/>
      <c r="S35" s="27"/>
      <c r="T35" s="27"/>
      <c r="U35"/>
    </row>
    <row r="36" spans="1:21" ht="13.8" thickBot="1" x14ac:dyDescent="0.3">
      <c r="A36" s="894" t="s">
        <v>128</v>
      </c>
      <c r="B36" s="459"/>
      <c r="C36" s="460" t="s">
        <v>347</v>
      </c>
      <c r="D36" s="460" t="s">
        <v>722</v>
      </c>
      <c r="E36" s="461" t="s">
        <v>737</v>
      </c>
      <c r="K36" s="462" t="s">
        <v>909</v>
      </c>
      <c r="L36" s="462" t="s">
        <v>909</v>
      </c>
      <c r="M36" s="461" t="s">
        <v>1075</v>
      </c>
      <c r="N36" s="463" t="s">
        <v>1075</v>
      </c>
      <c r="O36" s="464" t="s">
        <v>1074</v>
      </c>
      <c r="P36" s="462"/>
      <c r="Q36" s="23"/>
      <c r="R36" s="27"/>
      <c r="S36" s="27"/>
      <c r="T36" s="27"/>
      <c r="U36"/>
    </row>
    <row r="37" spans="1:21" ht="13.8" thickTop="1" x14ac:dyDescent="0.25">
      <c r="A37" s="910"/>
      <c r="B37" s="480"/>
      <c r="C37" s="468"/>
      <c r="D37" s="468"/>
      <c r="E37" s="468"/>
      <c r="K37" s="469"/>
      <c r="L37" s="468"/>
      <c r="M37" s="500"/>
      <c r="N37" s="477"/>
      <c r="O37" s="470"/>
      <c r="P37" s="471"/>
      <c r="Q37" s="23"/>
      <c r="R37" s="27"/>
      <c r="S37" s="27"/>
      <c r="T37" s="27"/>
      <c r="U37"/>
    </row>
    <row r="38" spans="1:21" x14ac:dyDescent="0.25">
      <c r="A38" s="907">
        <v>5113</v>
      </c>
      <c r="B38" s="505" t="s">
        <v>701</v>
      </c>
      <c r="C38" s="476">
        <v>16942.54</v>
      </c>
      <c r="D38" s="476">
        <v>25004.240000000002</v>
      </c>
      <c r="E38" s="476">
        <v>25781.62</v>
      </c>
      <c r="K38" s="667">
        <f>+M9</f>
        <v>33496</v>
      </c>
      <c r="L38" s="497">
        <f>+O9</f>
        <v>41780</v>
      </c>
      <c r="M38" s="500">
        <f t="shared" ref="M38:M50" si="7">+L38-K38</f>
        <v>8284</v>
      </c>
      <c r="N38" s="477">
        <f t="shared" ref="N38:N50" si="8">IF(K38+L38&lt;&gt;0,IF(K38&lt;&gt;0,IF(M38&lt;&gt;0,ROUND((+M38/K38),4),""),1),"")</f>
        <v>0.24729999999999999</v>
      </c>
      <c r="O38" s="470" t="s">
        <v>1725</v>
      </c>
      <c r="P38" s="471"/>
      <c r="Q38" s="23"/>
      <c r="R38" s="27"/>
      <c r="S38" s="27"/>
      <c r="T38" s="27"/>
      <c r="U38"/>
    </row>
    <row r="39" spans="1:21" ht="13.8" thickBot="1" x14ac:dyDescent="0.3">
      <c r="A39" s="907">
        <v>5144</v>
      </c>
      <c r="B39" s="480" t="s">
        <v>157</v>
      </c>
      <c r="C39" s="474"/>
      <c r="D39" s="474"/>
      <c r="E39" s="474"/>
      <c r="K39" s="667">
        <f>+M10</f>
        <v>500</v>
      </c>
      <c r="L39" s="497">
        <f>+O10</f>
        <v>500</v>
      </c>
      <c r="M39" s="500">
        <f t="shared" si="7"/>
        <v>0</v>
      </c>
      <c r="N39" s="477" t="str">
        <f t="shared" si="8"/>
        <v/>
      </c>
      <c r="O39" s="470"/>
      <c r="P39" s="471"/>
      <c r="Q39" s="23"/>
      <c r="R39" s="27"/>
      <c r="S39" s="27"/>
      <c r="T39" s="27"/>
      <c r="U39"/>
    </row>
    <row r="40" spans="1:21" x14ac:dyDescent="0.25">
      <c r="A40" s="907">
        <v>5211</v>
      </c>
      <c r="B40" s="472" t="s">
        <v>192</v>
      </c>
      <c r="C40" s="476">
        <v>3508.51</v>
      </c>
      <c r="D40" s="476">
        <v>3502.18</v>
      </c>
      <c r="E40" s="476">
        <v>3083.86</v>
      </c>
      <c r="K40" s="469">
        <f t="shared" ref="K40:K50" si="9">+M13</f>
        <v>3850</v>
      </c>
      <c r="L40" s="497">
        <f t="shared" ref="L40:L50" si="10">+O13</f>
        <v>4235</v>
      </c>
      <c r="M40" s="500">
        <f t="shared" si="7"/>
        <v>385</v>
      </c>
      <c r="N40" s="477">
        <f t="shared" si="8"/>
        <v>0.1</v>
      </c>
      <c r="O40" s="470" t="s">
        <v>1726</v>
      </c>
      <c r="P40" s="471"/>
      <c r="Q40" s="23"/>
      <c r="R40" s="27"/>
      <c r="S40" s="27"/>
      <c r="T40" s="27"/>
      <c r="U40"/>
    </row>
    <row r="41" spans="1:21" x14ac:dyDescent="0.25">
      <c r="A41" s="907">
        <v>5214</v>
      </c>
      <c r="B41" s="472" t="s">
        <v>717</v>
      </c>
      <c r="C41" s="476">
        <v>1669.01</v>
      </c>
      <c r="D41" s="476">
        <v>1925.82</v>
      </c>
      <c r="E41" s="476">
        <v>1944.03</v>
      </c>
      <c r="K41" s="469">
        <f t="shared" si="9"/>
        <v>1500</v>
      </c>
      <c r="L41" s="497">
        <f t="shared" si="10"/>
        <v>1650</v>
      </c>
      <c r="M41" s="500">
        <f t="shared" si="7"/>
        <v>150</v>
      </c>
      <c r="N41" s="477">
        <f t="shared" si="8"/>
        <v>0.1</v>
      </c>
      <c r="O41" s="470" t="s">
        <v>1726</v>
      </c>
      <c r="P41" s="471"/>
      <c r="Q41" s="23"/>
      <c r="R41" s="27"/>
      <c r="S41" s="27"/>
      <c r="T41" s="27"/>
      <c r="U41"/>
    </row>
    <row r="42" spans="1:21" x14ac:dyDescent="0.25">
      <c r="A42" s="907">
        <v>5231</v>
      </c>
      <c r="B42" s="472" t="s">
        <v>194</v>
      </c>
      <c r="C42" s="476"/>
      <c r="D42" s="476"/>
      <c r="E42" s="476"/>
      <c r="K42" s="469">
        <f t="shared" si="9"/>
        <v>120</v>
      </c>
      <c r="L42" s="497">
        <f t="shared" si="10"/>
        <v>120</v>
      </c>
      <c r="M42" s="500">
        <f t="shared" si="7"/>
        <v>0</v>
      </c>
      <c r="N42" s="477" t="str">
        <f t="shared" si="8"/>
        <v/>
      </c>
      <c r="O42" s="470"/>
      <c r="P42" s="471"/>
      <c r="Q42" s="23"/>
      <c r="R42" s="27"/>
      <c r="S42" s="27"/>
      <c r="T42" s="27"/>
      <c r="U42"/>
    </row>
    <row r="43" spans="1:21" x14ac:dyDescent="0.25">
      <c r="A43" s="907">
        <v>5232</v>
      </c>
      <c r="B43" s="472" t="s">
        <v>195</v>
      </c>
      <c r="C43" s="476"/>
      <c r="D43" s="476"/>
      <c r="E43" s="476"/>
      <c r="K43" s="469">
        <f t="shared" si="9"/>
        <v>455</v>
      </c>
      <c r="L43" s="497">
        <f t="shared" si="10"/>
        <v>455</v>
      </c>
      <c r="M43" s="500">
        <f t="shared" si="7"/>
        <v>0</v>
      </c>
      <c r="N43" s="477" t="str">
        <f t="shared" si="8"/>
        <v/>
      </c>
      <c r="O43" s="470"/>
      <c r="P43" s="471"/>
      <c r="Q43" s="23"/>
      <c r="R43" s="27"/>
      <c r="S43" s="27"/>
      <c r="T43" s="27"/>
      <c r="U43"/>
    </row>
    <row r="44" spans="1:21" x14ac:dyDescent="0.25">
      <c r="A44" s="907">
        <v>5242</v>
      </c>
      <c r="B44" s="472" t="s">
        <v>197</v>
      </c>
      <c r="C44" s="476">
        <v>545.99</v>
      </c>
      <c r="D44" s="476">
        <v>2105</v>
      </c>
      <c r="E44" s="476">
        <v>2382</v>
      </c>
      <c r="K44" s="469">
        <f t="shared" si="9"/>
        <v>2000</v>
      </c>
      <c r="L44" s="497">
        <f t="shared" si="10"/>
        <v>2000</v>
      </c>
      <c r="M44" s="500">
        <f t="shared" si="7"/>
        <v>0</v>
      </c>
      <c r="N44" s="477" t="str">
        <f t="shared" si="8"/>
        <v/>
      </c>
      <c r="O44" s="470"/>
      <c r="P44" s="471"/>
      <c r="Q44" s="23"/>
      <c r="R44" s="27"/>
      <c r="S44" s="27"/>
      <c r="T44" s="27"/>
      <c r="U44"/>
    </row>
    <row r="45" spans="1:21" x14ac:dyDescent="0.25">
      <c r="A45" s="907">
        <v>5251</v>
      </c>
      <c r="B45" s="472" t="s">
        <v>167</v>
      </c>
      <c r="C45" s="476">
        <v>149</v>
      </c>
      <c r="D45" s="476">
        <v>156.53</v>
      </c>
      <c r="E45" s="476">
        <v>244.8</v>
      </c>
      <c r="K45" s="469">
        <f t="shared" si="9"/>
        <v>400</v>
      </c>
      <c r="L45" s="497">
        <f t="shared" si="10"/>
        <v>400</v>
      </c>
      <c r="M45" s="500">
        <f t="shared" si="7"/>
        <v>0</v>
      </c>
      <c r="N45" s="477" t="str">
        <f t="shared" si="8"/>
        <v/>
      </c>
      <c r="O45" s="470"/>
      <c r="P45" s="471"/>
      <c r="Q45" s="23"/>
      <c r="R45" s="27"/>
      <c r="S45" s="27"/>
      <c r="T45" s="27"/>
      <c r="U45"/>
    </row>
    <row r="46" spans="1:21" x14ac:dyDescent="0.25">
      <c r="A46" s="907">
        <v>5279</v>
      </c>
      <c r="B46" s="472" t="s">
        <v>536</v>
      </c>
      <c r="C46" s="476">
        <v>3920</v>
      </c>
      <c r="D46" s="476">
        <v>3690</v>
      </c>
      <c r="E46" s="476">
        <v>2650</v>
      </c>
      <c r="K46" s="469">
        <f t="shared" si="9"/>
        <v>4000</v>
      </c>
      <c r="L46" s="497">
        <f t="shared" si="10"/>
        <v>4000</v>
      </c>
      <c r="M46" s="500">
        <f t="shared" si="7"/>
        <v>0</v>
      </c>
      <c r="N46" s="477" t="str">
        <f t="shared" si="8"/>
        <v/>
      </c>
      <c r="O46" s="470"/>
      <c r="P46" s="471"/>
      <c r="Q46" s="23"/>
      <c r="R46" s="27"/>
      <c r="S46" s="27"/>
      <c r="T46" s="27"/>
      <c r="U46"/>
    </row>
    <row r="47" spans="1:21" x14ac:dyDescent="0.25">
      <c r="A47" s="907">
        <v>5344</v>
      </c>
      <c r="B47" s="472" t="s">
        <v>142</v>
      </c>
      <c r="C47" s="476">
        <v>272.74</v>
      </c>
      <c r="D47" s="476"/>
      <c r="E47" s="476">
        <v>386.06</v>
      </c>
      <c r="K47" s="469">
        <f t="shared" si="9"/>
        <v>0</v>
      </c>
      <c r="L47" s="497">
        <f t="shared" si="10"/>
        <v>0</v>
      </c>
      <c r="M47" s="500">
        <f t="shared" si="7"/>
        <v>0</v>
      </c>
      <c r="N47" s="477" t="str">
        <f t="shared" si="8"/>
        <v/>
      </c>
      <c r="O47" s="470"/>
      <c r="P47" s="471"/>
      <c r="Q47" s="23"/>
      <c r="R47" s="27"/>
      <c r="S47" s="27"/>
      <c r="T47" s="27"/>
      <c r="U47"/>
    </row>
    <row r="48" spans="1:21" x14ac:dyDescent="0.25">
      <c r="A48" s="907">
        <v>5451</v>
      </c>
      <c r="B48" s="472" t="s">
        <v>202</v>
      </c>
      <c r="C48" s="476"/>
      <c r="D48" s="476"/>
      <c r="E48" s="476"/>
      <c r="K48" s="469">
        <f t="shared" si="9"/>
        <v>200</v>
      </c>
      <c r="L48" s="497">
        <f t="shared" si="10"/>
        <v>200</v>
      </c>
      <c r="M48" s="500">
        <f t="shared" si="7"/>
        <v>0</v>
      </c>
      <c r="N48" s="477" t="str">
        <f t="shared" si="8"/>
        <v/>
      </c>
      <c r="O48" s="470"/>
      <c r="P48" s="471"/>
      <c r="Q48" s="23"/>
      <c r="R48" s="4"/>
      <c r="S48" s="4" t="s">
        <v>1264</v>
      </c>
      <c r="T48" s="4"/>
      <c r="U48"/>
    </row>
    <row r="49" spans="1:21" x14ac:dyDescent="0.25">
      <c r="A49" s="907">
        <v>5586</v>
      </c>
      <c r="B49" s="472" t="s">
        <v>182</v>
      </c>
      <c r="C49" s="476"/>
      <c r="D49" s="476">
        <v>314.31</v>
      </c>
      <c r="E49" s="476">
        <v>1371.15</v>
      </c>
      <c r="K49" s="469">
        <f t="shared" si="9"/>
        <v>0</v>
      </c>
      <c r="L49" s="497">
        <f t="shared" si="10"/>
        <v>0</v>
      </c>
      <c r="M49" s="500">
        <f t="shared" si="7"/>
        <v>0</v>
      </c>
      <c r="N49" s="477" t="str">
        <f t="shared" si="8"/>
        <v/>
      </c>
      <c r="O49" s="470"/>
      <c r="P49" s="471"/>
      <c r="Q49" s="23"/>
      <c r="R49" s="4"/>
      <c r="S49" s="4"/>
      <c r="T49" s="4"/>
      <c r="U49"/>
    </row>
    <row r="50" spans="1:21" ht="13.8" thickBot="1" x14ac:dyDescent="0.3">
      <c r="A50" s="907">
        <v>5710</v>
      </c>
      <c r="B50" s="472" t="s">
        <v>535</v>
      </c>
      <c r="C50" s="474">
        <v>205</v>
      </c>
      <c r="D50" s="474">
        <v>46.92</v>
      </c>
      <c r="E50" s="474"/>
      <c r="K50" s="469">
        <f t="shared" si="9"/>
        <v>0</v>
      </c>
      <c r="L50" s="497">
        <f t="shared" si="10"/>
        <v>0</v>
      </c>
      <c r="M50" s="500">
        <f t="shared" si="7"/>
        <v>0</v>
      </c>
      <c r="N50" s="477" t="str">
        <f t="shared" si="8"/>
        <v/>
      </c>
      <c r="O50" s="470"/>
      <c r="P50" s="471"/>
      <c r="Q50" s="23"/>
      <c r="R50" s="4"/>
      <c r="S50" s="4"/>
      <c r="T50" s="4"/>
      <c r="U50"/>
    </row>
    <row r="51" spans="1:21" x14ac:dyDescent="0.25">
      <c r="A51" s="876"/>
      <c r="B51" s="4"/>
      <c r="C51" s="23"/>
      <c r="D51" s="23"/>
      <c r="E51" s="23"/>
      <c r="F51" s="23"/>
      <c r="G51" s="23"/>
      <c r="K51" s="23"/>
      <c r="L51" s="23"/>
      <c r="M51" s="23"/>
      <c r="N51" s="4"/>
      <c r="O51" s="23"/>
      <c r="P51" s="23"/>
      <c r="Q51" s="23"/>
      <c r="R51" s="4"/>
      <c r="S51" s="4"/>
      <c r="T51" s="4"/>
      <c r="U51"/>
    </row>
    <row r="52" spans="1:21" x14ac:dyDescent="0.25">
      <c r="A52" s="876"/>
      <c r="B52" s="4" t="s">
        <v>1363</v>
      </c>
      <c r="C52" s="23"/>
      <c r="D52" s="23"/>
      <c r="E52" s="23"/>
      <c r="F52" s="23"/>
      <c r="G52" s="23"/>
      <c r="K52" s="742">
        <f>SUM(K38:K51)</f>
        <v>46521</v>
      </c>
      <c r="L52" s="742">
        <f>SUM(L38:L51)</f>
        <v>55340</v>
      </c>
      <c r="M52" s="202">
        <f>+L52-K52</f>
        <v>8819</v>
      </c>
      <c r="N52" s="743">
        <f>IF(K52+L52&lt;&gt;0,IF(K52&lt;&gt;0,IF(M52&lt;&gt;0,ROUND((+M52/K52),4),""),1),"")</f>
        <v>0.18959999999999999</v>
      </c>
      <c r="O52" s="23"/>
      <c r="P52" s="23"/>
      <c r="Q52" s="23"/>
      <c r="R52" s="4"/>
      <c r="S52" s="4"/>
      <c r="T52" s="4"/>
      <c r="U52"/>
    </row>
    <row r="53" spans="1:21" x14ac:dyDescent="0.25">
      <c r="A53" s="876"/>
      <c r="B53" s="4"/>
      <c r="C53" s="23"/>
      <c r="D53" s="23"/>
      <c r="E53" s="23"/>
      <c r="F53" s="23"/>
      <c r="G53" s="23"/>
      <c r="H53" s="23"/>
      <c r="I53" s="23"/>
      <c r="J53" s="23"/>
      <c r="K53" s="23"/>
      <c r="L53" s="23"/>
      <c r="M53" s="23"/>
      <c r="N53" s="4"/>
      <c r="O53" s="23"/>
      <c r="P53" s="23"/>
      <c r="Q53" s="23"/>
      <c r="R53" s="4"/>
      <c r="S53" s="4"/>
      <c r="T53" s="4"/>
      <c r="U53"/>
    </row>
    <row r="54" spans="1:21" x14ac:dyDescent="0.25">
      <c r="A54" s="876"/>
      <c r="B54" s="4"/>
      <c r="C54" s="23"/>
      <c r="D54" s="23"/>
      <c r="E54" s="23"/>
      <c r="F54" s="23"/>
      <c r="G54" s="23"/>
      <c r="H54" s="23"/>
      <c r="I54" s="23"/>
      <c r="J54" s="23"/>
      <c r="K54" s="23"/>
      <c r="L54" s="23"/>
      <c r="M54" s="23"/>
      <c r="N54" s="4"/>
      <c r="O54" s="23"/>
      <c r="P54" s="23"/>
      <c r="Q54" s="23"/>
      <c r="R54" s="4"/>
      <c r="S54" s="4"/>
      <c r="T54" s="4"/>
      <c r="U54"/>
    </row>
    <row r="55" spans="1:21" x14ac:dyDescent="0.25">
      <c r="A55" s="876"/>
      <c r="B55" s="4"/>
      <c r="C55" s="23"/>
      <c r="D55" s="23"/>
      <c r="E55" s="23"/>
      <c r="F55" s="23"/>
      <c r="G55" s="23"/>
      <c r="H55" s="23"/>
      <c r="I55" s="23"/>
      <c r="J55" s="23"/>
      <c r="K55" s="23"/>
      <c r="L55" s="23"/>
      <c r="M55" s="23"/>
      <c r="N55" s="4"/>
      <c r="O55" s="23"/>
      <c r="P55" s="23"/>
      <c r="Q55" s="23"/>
      <c r="R55" s="4"/>
      <c r="S55" s="4"/>
      <c r="T55" s="4"/>
      <c r="U55"/>
    </row>
    <row r="56" spans="1:21" x14ac:dyDescent="0.25">
      <c r="A56" s="876"/>
      <c r="B56" s="4"/>
      <c r="C56" s="23"/>
      <c r="D56" s="23"/>
      <c r="E56" s="23"/>
      <c r="F56" s="23"/>
      <c r="G56" s="23"/>
      <c r="H56" s="23"/>
      <c r="I56" s="23"/>
      <c r="J56" s="23"/>
      <c r="K56" s="23"/>
      <c r="L56" s="23"/>
      <c r="M56" s="23"/>
      <c r="N56" s="4"/>
      <c r="O56" s="23"/>
      <c r="P56" s="23"/>
      <c r="Q56" s="23"/>
      <c r="R56" s="4"/>
      <c r="S56" s="4"/>
      <c r="T56" s="4"/>
      <c r="U56"/>
    </row>
    <row r="57" spans="1:21" x14ac:dyDescent="0.25">
      <c r="A57" s="876"/>
      <c r="B57" s="4"/>
      <c r="C57" s="23"/>
      <c r="D57" s="23"/>
      <c r="E57" s="23"/>
      <c r="F57" s="23"/>
      <c r="G57" s="23"/>
      <c r="H57" s="23"/>
      <c r="I57" s="23"/>
      <c r="J57" s="23"/>
      <c r="K57" s="23"/>
      <c r="L57" s="23"/>
      <c r="M57" s="23"/>
      <c r="N57" s="4"/>
      <c r="O57" s="23"/>
      <c r="P57" s="23"/>
      <c r="Q57" s="23"/>
      <c r="R57" s="4"/>
      <c r="S57" s="4"/>
      <c r="T57" s="4"/>
      <c r="U57"/>
    </row>
    <row r="58" spans="1:21" x14ac:dyDescent="0.25">
      <c r="A58" s="876"/>
      <c r="B58" s="4"/>
      <c r="C58" s="23"/>
      <c r="D58" s="23"/>
      <c r="E58" s="23"/>
      <c r="F58" s="23"/>
      <c r="G58" s="23"/>
      <c r="H58" s="23"/>
      <c r="I58" s="23"/>
      <c r="J58" s="23"/>
      <c r="K58" s="23"/>
      <c r="L58" s="23"/>
      <c r="M58" s="23"/>
      <c r="N58" s="4"/>
      <c r="O58" s="23"/>
      <c r="P58" s="23"/>
      <c r="Q58" s="23"/>
      <c r="R58" s="4"/>
      <c r="S58" s="4"/>
      <c r="T58" s="4"/>
      <c r="U58"/>
    </row>
    <row r="59" spans="1:21" x14ac:dyDescent="0.25">
      <c r="A59" s="876"/>
      <c r="B59" s="4"/>
      <c r="C59" s="23"/>
      <c r="D59" s="23"/>
      <c r="E59" s="23"/>
      <c r="F59" s="23"/>
      <c r="G59" s="23"/>
      <c r="H59" s="23"/>
      <c r="I59" s="23"/>
      <c r="J59" s="23"/>
      <c r="K59" s="23"/>
      <c r="L59" s="23"/>
      <c r="M59" s="23"/>
      <c r="N59" s="4"/>
      <c r="O59" s="23"/>
      <c r="P59" s="23"/>
      <c r="Q59" s="23"/>
      <c r="R59" s="4"/>
      <c r="S59" s="4"/>
      <c r="T59" s="4"/>
      <c r="U59"/>
    </row>
    <row r="60" spans="1:21" x14ac:dyDescent="0.25">
      <c r="A60" s="876"/>
      <c r="B60" s="4"/>
      <c r="C60" s="23"/>
      <c r="D60" s="23"/>
      <c r="E60" s="23"/>
      <c r="F60" s="23"/>
      <c r="G60" s="23"/>
      <c r="H60" s="23"/>
      <c r="I60" s="23"/>
      <c r="J60" s="23"/>
      <c r="K60" s="23"/>
      <c r="L60" s="23"/>
      <c r="M60" s="23"/>
      <c r="N60" s="4"/>
      <c r="O60" s="23"/>
      <c r="P60" s="23"/>
      <c r="Q60" s="23"/>
      <c r="R60" s="4"/>
      <c r="S60" s="4"/>
      <c r="T60" s="4"/>
      <c r="U60"/>
    </row>
    <row r="61" spans="1:21" x14ac:dyDescent="0.25">
      <c r="A61" s="876"/>
      <c r="B61" s="4"/>
      <c r="C61" s="23"/>
      <c r="D61" s="23"/>
      <c r="E61" s="23"/>
      <c r="F61" s="23"/>
      <c r="G61" s="23"/>
      <c r="H61" s="23"/>
      <c r="I61" s="23"/>
      <c r="J61" s="23"/>
      <c r="K61" s="23"/>
      <c r="L61" s="23"/>
      <c r="M61" s="23"/>
      <c r="N61" s="4"/>
      <c r="O61" s="23"/>
      <c r="P61" s="23"/>
      <c r="Q61" s="23"/>
      <c r="R61" s="4"/>
      <c r="S61" s="4"/>
      <c r="T61" s="4"/>
      <c r="U61"/>
    </row>
    <row r="62" spans="1:21" x14ac:dyDescent="0.25">
      <c r="A62" s="876"/>
      <c r="B62" s="4"/>
      <c r="C62" s="23"/>
      <c r="D62" s="23"/>
      <c r="E62" s="23"/>
      <c r="F62" s="23"/>
      <c r="G62" s="23"/>
      <c r="H62" s="23"/>
      <c r="I62" s="23"/>
      <c r="J62" s="23"/>
      <c r="K62" s="23"/>
      <c r="L62" s="23"/>
      <c r="M62" s="23"/>
      <c r="N62" s="4"/>
      <c r="O62" s="23"/>
      <c r="P62" s="23"/>
      <c r="Q62" s="23"/>
      <c r="R62" s="4"/>
      <c r="S62" s="4"/>
      <c r="T62" s="4"/>
      <c r="U62"/>
    </row>
    <row r="63" spans="1:21" x14ac:dyDescent="0.25">
      <c r="A63" s="876"/>
      <c r="B63" s="4"/>
      <c r="C63" s="23"/>
      <c r="D63" s="23"/>
      <c r="E63" s="23"/>
      <c r="F63" s="23"/>
      <c r="G63" s="23"/>
      <c r="H63" s="23"/>
      <c r="I63" s="23"/>
      <c r="J63" s="23"/>
      <c r="K63" s="23"/>
      <c r="L63" s="23"/>
      <c r="M63" s="23"/>
      <c r="N63" s="4"/>
      <c r="O63" s="23"/>
      <c r="P63" s="23"/>
      <c r="Q63" s="23"/>
      <c r="R63" s="4"/>
      <c r="S63" s="4"/>
      <c r="T63" s="4"/>
      <c r="U63"/>
    </row>
    <row r="64" spans="1:21" x14ac:dyDescent="0.25">
      <c r="A64" s="876"/>
      <c r="B64" s="4"/>
      <c r="C64" s="23"/>
      <c r="D64" s="23"/>
      <c r="E64" s="23"/>
      <c r="F64" s="23"/>
      <c r="G64" s="23"/>
      <c r="H64" s="23"/>
      <c r="I64" s="23"/>
      <c r="J64" s="23"/>
      <c r="K64" s="23"/>
      <c r="L64" s="23"/>
      <c r="M64" s="23"/>
      <c r="N64" s="4"/>
      <c r="O64" s="23"/>
      <c r="P64" s="23"/>
      <c r="Q64" s="23"/>
      <c r="R64" s="4"/>
      <c r="S64" s="4"/>
      <c r="T64" s="4"/>
      <c r="U64"/>
    </row>
    <row r="65" spans="1:21" x14ac:dyDescent="0.25">
      <c r="A65" s="876"/>
      <c r="B65" s="4"/>
      <c r="C65" s="23"/>
      <c r="D65" s="23"/>
      <c r="E65" s="23"/>
      <c r="F65" s="23"/>
      <c r="G65" s="23"/>
      <c r="H65" s="23"/>
      <c r="I65" s="23"/>
      <c r="J65" s="23"/>
      <c r="K65" s="23"/>
      <c r="L65" s="23"/>
      <c r="M65" s="23"/>
      <c r="N65" s="4"/>
      <c r="O65" s="23"/>
      <c r="P65" s="23"/>
      <c r="Q65" s="23"/>
      <c r="R65" s="4"/>
      <c r="S65" s="4"/>
      <c r="T65" s="4"/>
      <c r="U65"/>
    </row>
    <row r="66" spans="1:21" x14ac:dyDescent="0.25">
      <c r="A66" s="876"/>
      <c r="B66" s="4"/>
      <c r="C66" s="23"/>
      <c r="D66" s="23"/>
      <c r="E66" s="23"/>
      <c r="F66" s="23"/>
      <c r="G66" s="23"/>
      <c r="H66" s="23"/>
      <c r="I66" s="23"/>
      <c r="J66" s="23"/>
      <c r="K66" s="23"/>
      <c r="L66" s="23"/>
      <c r="M66" s="23"/>
      <c r="N66" s="4"/>
      <c r="O66" s="23"/>
      <c r="P66" s="23"/>
      <c r="Q66" s="23"/>
      <c r="R66" s="4"/>
      <c r="S66" s="4"/>
      <c r="T66" s="4"/>
      <c r="U66"/>
    </row>
    <row r="67" spans="1:21" x14ac:dyDescent="0.25">
      <c r="A67" s="876"/>
      <c r="B67" s="4"/>
      <c r="C67" s="23"/>
      <c r="D67" s="23"/>
      <c r="E67" s="23"/>
      <c r="F67" s="23"/>
      <c r="G67" s="23"/>
      <c r="H67" s="23"/>
      <c r="I67" s="23"/>
      <c r="J67" s="23"/>
      <c r="K67" s="23"/>
      <c r="L67" s="23"/>
      <c r="M67" s="23"/>
      <c r="N67" s="4"/>
      <c r="O67" s="23"/>
      <c r="P67" s="23"/>
      <c r="Q67" s="23"/>
      <c r="R67" s="4"/>
      <c r="S67" s="4"/>
      <c r="T67" s="4"/>
      <c r="U67"/>
    </row>
    <row r="68" spans="1:21" x14ac:dyDescent="0.25">
      <c r="A68" s="876"/>
      <c r="B68" s="4"/>
      <c r="C68" s="23"/>
      <c r="D68" s="23"/>
      <c r="E68" s="23"/>
      <c r="F68" s="23"/>
      <c r="G68" s="23"/>
      <c r="H68" s="23"/>
      <c r="I68" s="23"/>
      <c r="J68" s="23"/>
      <c r="K68" s="23"/>
      <c r="L68" s="23"/>
      <c r="M68" s="23"/>
      <c r="N68" s="4"/>
      <c r="O68" s="23"/>
      <c r="P68" s="23"/>
      <c r="Q68" s="23"/>
      <c r="R68" s="4"/>
      <c r="S68" s="4"/>
      <c r="T68" s="4"/>
      <c r="U68"/>
    </row>
    <row r="69" spans="1:21" x14ac:dyDescent="0.25">
      <c r="A69" s="876"/>
      <c r="B69" s="4"/>
      <c r="C69" s="23"/>
      <c r="D69" s="23"/>
      <c r="E69" s="23"/>
      <c r="F69" s="23"/>
      <c r="G69" s="23"/>
      <c r="H69" s="23"/>
      <c r="I69" s="23"/>
      <c r="J69" s="23"/>
      <c r="K69" s="23"/>
      <c r="L69" s="23"/>
      <c r="M69" s="23"/>
      <c r="N69" s="4"/>
      <c r="O69" s="23"/>
      <c r="P69" s="23"/>
      <c r="Q69" s="23"/>
      <c r="R69" s="4"/>
      <c r="S69" s="4"/>
      <c r="T69" s="4"/>
      <c r="U69"/>
    </row>
    <row r="70" spans="1:21" x14ac:dyDescent="0.25">
      <c r="A70" s="876"/>
      <c r="B70" s="4"/>
      <c r="C70" s="23"/>
      <c r="D70" s="23"/>
      <c r="E70" s="23"/>
      <c r="F70" s="23"/>
      <c r="G70" s="23"/>
      <c r="H70" s="23"/>
      <c r="I70" s="23"/>
      <c r="J70" s="23"/>
      <c r="K70" s="23"/>
      <c r="L70" s="23"/>
      <c r="M70" s="23"/>
      <c r="N70" s="4"/>
      <c r="O70" s="23"/>
      <c r="P70" s="23"/>
      <c r="Q70" s="23"/>
      <c r="R70" s="4"/>
      <c r="S70" s="4"/>
      <c r="T70" s="4"/>
      <c r="U70"/>
    </row>
    <row r="71" spans="1:21" x14ac:dyDescent="0.25">
      <c r="A71" s="876"/>
      <c r="B71" s="4"/>
      <c r="C71" s="23"/>
      <c r="D71" s="23"/>
      <c r="E71" s="23"/>
      <c r="F71" s="23"/>
      <c r="G71" s="23"/>
      <c r="H71" s="23"/>
      <c r="I71" s="23"/>
      <c r="J71" s="23"/>
      <c r="K71" s="23"/>
      <c r="L71" s="23"/>
      <c r="M71" s="23"/>
      <c r="N71" s="4"/>
      <c r="O71" s="23"/>
      <c r="P71" s="23"/>
      <c r="Q71" s="23"/>
      <c r="R71" s="4"/>
      <c r="S71" s="4"/>
      <c r="T71" s="4"/>
      <c r="U71"/>
    </row>
    <row r="72" spans="1:21" x14ac:dyDescent="0.25">
      <c r="A72" s="876"/>
      <c r="B72" s="4"/>
      <c r="C72" s="23"/>
      <c r="D72" s="23"/>
      <c r="E72" s="23"/>
      <c r="F72" s="23"/>
      <c r="G72" s="23"/>
      <c r="H72" s="23"/>
      <c r="I72" s="23"/>
      <c r="J72" s="23"/>
      <c r="K72" s="23"/>
      <c r="L72" s="23"/>
      <c r="M72" s="23"/>
      <c r="N72" s="4"/>
      <c r="O72" s="23"/>
      <c r="P72" s="23"/>
      <c r="Q72" s="23"/>
      <c r="R72" s="4"/>
      <c r="S72" s="4"/>
      <c r="T72" s="4"/>
      <c r="U72"/>
    </row>
    <row r="73" spans="1:21" x14ac:dyDescent="0.25">
      <c r="A73" s="876"/>
      <c r="B73" s="4"/>
      <c r="C73" s="23"/>
      <c r="D73" s="23"/>
      <c r="E73" s="23"/>
      <c r="F73" s="23"/>
      <c r="G73" s="23"/>
      <c r="H73" s="23"/>
      <c r="I73" s="23"/>
      <c r="J73" s="23"/>
      <c r="K73" s="23"/>
      <c r="L73" s="23"/>
      <c r="M73" s="23"/>
      <c r="N73" s="4"/>
      <c r="O73" s="23"/>
      <c r="P73" s="23"/>
      <c r="Q73" s="23"/>
      <c r="R73" s="4"/>
      <c r="S73" s="4"/>
      <c r="T73" s="4"/>
      <c r="U73"/>
    </row>
    <row r="74" spans="1:21" x14ac:dyDescent="0.25">
      <c r="A74" s="876"/>
      <c r="B74" s="4"/>
      <c r="C74" s="23"/>
      <c r="D74" s="23"/>
      <c r="E74" s="23"/>
      <c r="F74" s="23"/>
      <c r="G74" s="23"/>
      <c r="H74" s="23"/>
      <c r="I74" s="23"/>
      <c r="J74" s="23"/>
      <c r="K74" s="23"/>
      <c r="L74" s="23"/>
      <c r="M74" s="23"/>
      <c r="N74" s="4"/>
      <c r="O74" s="23"/>
      <c r="P74" s="23"/>
      <c r="Q74" s="23"/>
      <c r="R74" s="4"/>
      <c r="S74" s="4"/>
      <c r="T74" s="4"/>
      <c r="U74"/>
    </row>
    <row r="75" spans="1:21" x14ac:dyDescent="0.25">
      <c r="A75" s="876"/>
      <c r="B75" s="4"/>
      <c r="C75" s="23"/>
      <c r="D75" s="23"/>
      <c r="E75" s="23"/>
      <c r="F75" s="23"/>
      <c r="G75" s="23"/>
      <c r="H75" s="23"/>
      <c r="I75" s="23"/>
      <c r="J75" s="23"/>
      <c r="K75" s="23"/>
      <c r="L75" s="23"/>
      <c r="M75" s="23"/>
      <c r="N75" s="4"/>
      <c r="O75" s="23"/>
      <c r="P75" s="23"/>
      <c r="Q75" s="23"/>
      <c r="R75" s="4"/>
      <c r="S75" s="4"/>
      <c r="T75" s="4"/>
      <c r="U75"/>
    </row>
    <row r="76" spans="1:21" x14ac:dyDescent="0.25">
      <c r="A76" s="876"/>
      <c r="B76" s="4"/>
      <c r="C76" s="23"/>
      <c r="D76" s="23"/>
      <c r="E76" s="23"/>
      <c r="F76" s="23"/>
      <c r="G76" s="23"/>
      <c r="H76" s="23"/>
      <c r="I76" s="23"/>
      <c r="J76" s="23"/>
      <c r="K76" s="23"/>
      <c r="L76" s="23"/>
      <c r="M76" s="23"/>
      <c r="N76" s="4"/>
      <c r="O76" s="23"/>
      <c r="P76" s="23"/>
      <c r="Q76" s="23"/>
      <c r="R76" s="4"/>
      <c r="S76" s="4"/>
      <c r="T76" s="4"/>
      <c r="U76"/>
    </row>
    <row r="77" spans="1:21" x14ac:dyDescent="0.25">
      <c r="A77" s="876"/>
      <c r="B77" s="4"/>
      <c r="C77" s="23"/>
      <c r="D77" s="23"/>
      <c r="E77" s="23"/>
      <c r="F77" s="23"/>
      <c r="G77" s="23"/>
      <c r="H77" s="23"/>
      <c r="I77" s="23"/>
      <c r="J77" s="23"/>
      <c r="K77" s="23"/>
      <c r="L77" s="23"/>
      <c r="M77" s="23"/>
      <c r="N77" s="4"/>
      <c r="O77" s="23"/>
      <c r="P77" s="23"/>
      <c r="Q77" s="23"/>
      <c r="R77" s="4"/>
      <c r="S77" s="4"/>
      <c r="T77" s="4"/>
      <c r="U77"/>
    </row>
    <row r="78" spans="1:21" x14ac:dyDescent="0.25">
      <c r="A78" s="876"/>
      <c r="B78" s="4"/>
      <c r="C78" s="23"/>
      <c r="D78" s="23"/>
      <c r="E78" s="23"/>
      <c r="F78" s="23"/>
      <c r="G78" s="23"/>
      <c r="H78" s="23"/>
      <c r="I78" s="23"/>
      <c r="J78" s="23"/>
      <c r="K78" s="23"/>
      <c r="L78" s="23"/>
      <c r="M78" s="23"/>
      <c r="N78" s="4"/>
      <c r="O78" s="23"/>
      <c r="P78" s="23"/>
      <c r="Q78" s="23"/>
      <c r="R78" s="4"/>
      <c r="S78" s="4"/>
      <c r="T78" s="4"/>
      <c r="U78"/>
    </row>
    <row r="79" spans="1:21" x14ac:dyDescent="0.25">
      <c r="A79" s="876"/>
      <c r="B79" s="4"/>
      <c r="C79" s="23"/>
      <c r="D79" s="23"/>
      <c r="E79" s="23"/>
      <c r="F79" s="23"/>
      <c r="G79" s="23"/>
      <c r="H79" s="23"/>
      <c r="I79" s="23"/>
      <c r="J79" s="23"/>
      <c r="K79" s="23"/>
      <c r="L79" s="23"/>
      <c r="M79" s="23"/>
      <c r="N79" s="4"/>
      <c r="O79" s="23"/>
      <c r="P79" s="23"/>
      <c r="Q79" s="23"/>
      <c r="R79" s="4"/>
      <c r="S79" s="4"/>
      <c r="T79" s="4"/>
      <c r="U79"/>
    </row>
    <row r="80" spans="1:21" x14ac:dyDescent="0.25">
      <c r="A80" s="876"/>
      <c r="B80" s="4"/>
      <c r="C80" s="23"/>
      <c r="D80" s="23"/>
      <c r="E80" s="23"/>
      <c r="F80" s="23"/>
      <c r="G80" s="23"/>
      <c r="H80" s="23"/>
      <c r="I80" s="23"/>
      <c r="J80" s="23"/>
      <c r="K80" s="23"/>
      <c r="L80" s="23"/>
      <c r="M80" s="23"/>
      <c r="N80" s="4"/>
      <c r="O80" s="23"/>
      <c r="P80" s="23"/>
      <c r="Q80" s="23"/>
      <c r="R80" s="4"/>
      <c r="S80" s="4"/>
      <c r="T80" s="4"/>
      <c r="U80"/>
    </row>
    <row r="81" spans="1:21" x14ac:dyDescent="0.25">
      <c r="A81" s="876"/>
      <c r="B81" s="4"/>
      <c r="C81" s="23"/>
      <c r="D81" s="23"/>
      <c r="E81" s="23"/>
      <c r="F81" s="23"/>
      <c r="G81" s="23"/>
      <c r="H81" s="23"/>
      <c r="I81" s="23"/>
      <c r="J81" s="23"/>
      <c r="K81" s="23"/>
      <c r="L81" s="23"/>
      <c r="M81" s="23"/>
      <c r="N81" s="4"/>
      <c r="O81" s="23"/>
      <c r="P81" s="23"/>
      <c r="Q81" s="23"/>
      <c r="R81" s="4"/>
      <c r="S81" s="4"/>
      <c r="T81" s="4"/>
      <c r="U81"/>
    </row>
    <row r="82" spans="1:21" x14ac:dyDescent="0.25">
      <c r="A82" s="876"/>
      <c r="B82" s="4"/>
      <c r="C82" s="23"/>
      <c r="D82" s="23"/>
      <c r="E82" s="23"/>
      <c r="F82" s="23"/>
      <c r="G82" s="23"/>
      <c r="H82" s="23"/>
      <c r="I82" s="23"/>
      <c r="J82" s="23"/>
      <c r="K82" s="23"/>
      <c r="L82" s="23"/>
      <c r="M82" s="23"/>
      <c r="N82" s="4"/>
      <c r="O82" s="23"/>
      <c r="P82" s="23"/>
      <c r="Q82" s="23"/>
      <c r="R82" s="4"/>
      <c r="S82" s="4"/>
      <c r="T82" s="4"/>
      <c r="U82"/>
    </row>
    <row r="83" spans="1:21" x14ac:dyDescent="0.25">
      <c r="A83" s="876"/>
      <c r="B83" s="4"/>
      <c r="C83" s="23"/>
      <c r="D83" s="23"/>
      <c r="E83" s="23"/>
      <c r="F83" s="23"/>
      <c r="G83" s="23"/>
      <c r="H83" s="23"/>
      <c r="I83" s="23"/>
      <c r="J83" s="23"/>
      <c r="K83" s="23"/>
      <c r="L83" s="23"/>
      <c r="M83" s="23"/>
      <c r="N83" s="4"/>
      <c r="O83" s="23"/>
      <c r="P83" s="23"/>
      <c r="Q83" s="23"/>
      <c r="R83" s="4"/>
      <c r="S83" s="4"/>
      <c r="T83" s="4"/>
      <c r="U83"/>
    </row>
    <row r="84" spans="1:21" x14ac:dyDescent="0.25">
      <c r="A84" s="876"/>
      <c r="B84" s="4"/>
      <c r="C84" s="23"/>
      <c r="D84" s="23"/>
      <c r="E84" s="23"/>
      <c r="F84" s="23"/>
      <c r="G84" s="23"/>
      <c r="H84" s="23"/>
      <c r="I84" s="23"/>
      <c r="J84" s="23"/>
      <c r="K84" s="23"/>
      <c r="L84" s="23"/>
      <c r="M84" s="23"/>
      <c r="N84" s="4"/>
      <c r="O84" s="23"/>
      <c r="P84" s="23"/>
      <c r="Q84" s="23"/>
      <c r="R84" s="4"/>
      <c r="S84" s="4"/>
      <c r="T84" s="4"/>
      <c r="U84"/>
    </row>
    <row r="85" spans="1:21" x14ac:dyDescent="0.25">
      <c r="A85" s="876"/>
      <c r="B85" s="4"/>
      <c r="C85" s="23"/>
      <c r="D85" s="23"/>
      <c r="E85" s="23"/>
      <c r="F85" s="23"/>
      <c r="G85" s="23"/>
      <c r="H85" s="23"/>
      <c r="I85" s="23"/>
      <c r="J85" s="23"/>
      <c r="K85" s="23"/>
      <c r="L85" s="23"/>
      <c r="M85" s="23"/>
      <c r="N85" s="4"/>
      <c r="O85" s="23"/>
      <c r="P85" s="23"/>
      <c r="Q85" s="23"/>
      <c r="R85" s="4"/>
      <c r="S85" s="4"/>
      <c r="T85" s="4"/>
      <c r="U85"/>
    </row>
    <row r="86" spans="1:21" x14ac:dyDescent="0.25">
      <c r="A86" s="876"/>
      <c r="B86" s="4"/>
      <c r="C86" s="23"/>
      <c r="D86" s="23"/>
      <c r="E86" s="23"/>
      <c r="F86" s="23"/>
      <c r="G86" s="23"/>
      <c r="H86" s="23"/>
      <c r="I86" s="23"/>
      <c r="J86" s="23"/>
      <c r="K86" s="23"/>
      <c r="L86" s="23"/>
      <c r="M86" s="23"/>
      <c r="N86" s="4"/>
      <c r="O86" s="23"/>
      <c r="P86" s="23"/>
      <c r="Q86" s="23"/>
      <c r="R86" s="4"/>
      <c r="S86" s="4"/>
      <c r="T86" s="4"/>
      <c r="U86"/>
    </row>
    <row r="87" spans="1:21" x14ac:dyDescent="0.25">
      <c r="A87" s="876"/>
      <c r="B87" s="4"/>
      <c r="C87" s="23"/>
      <c r="D87" s="23"/>
      <c r="E87" s="23"/>
      <c r="F87" s="23"/>
      <c r="G87" s="23"/>
      <c r="H87" s="23"/>
      <c r="I87" s="23"/>
      <c r="J87" s="23"/>
      <c r="K87" s="23"/>
      <c r="L87" s="23"/>
      <c r="M87" s="23"/>
      <c r="N87" s="4"/>
      <c r="O87" s="23"/>
      <c r="P87" s="23"/>
      <c r="Q87" s="23"/>
      <c r="R87" s="4"/>
      <c r="S87" s="4"/>
      <c r="T87" s="4"/>
      <c r="U87"/>
    </row>
    <row r="88" spans="1:21" x14ac:dyDescent="0.25">
      <c r="A88" s="876"/>
      <c r="B88" s="4"/>
      <c r="C88" s="23"/>
      <c r="D88" s="23"/>
      <c r="E88" s="23"/>
      <c r="F88" s="23"/>
      <c r="G88" s="23"/>
      <c r="H88" s="23"/>
      <c r="I88" s="23"/>
      <c r="J88" s="23"/>
      <c r="K88" s="23"/>
      <c r="L88" s="23"/>
      <c r="M88" s="23"/>
      <c r="N88" s="4"/>
      <c r="O88" s="23"/>
      <c r="P88" s="23"/>
      <c r="Q88" s="23"/>
      <c r="R88" s="4"/>
      <c r="S88" s="4"/>
      <c r="T88" s="4"/>
      <c r="U88"/>
    </row>
    <row r="89" spans="1:21" x14ac:dyDescent="0.25">
      <c r="A89" s="876"/>
      <c r="B89" s="4"/>
      <c r="C89" s="23"/>
      <c r="D89" s="23"/>
      <c r="E89" s="23"/>
      <c r="F89" s="23"/>
      <c r="G89" s="23"/>
      <c r="H89" s="23"/>
      <c r="I89" s="23"/>
      <c r="J89" s="23"/>
      <c r="K89" s="23"/>
      <c r="L89" s="23"/>
      <c r="M89" s="23"/>
      <c r="N89" s="4"/>
      <c r="O89" s="23"/>
      <c r="P89" s="23"/>
      <c r="Q89" s="23"/>
      <c r="R89" s="4"/>
      <c r="S89" s="4"/>
      <c r="T89" s="4"/>
      <c r="U89"/>
    </row>
    <row r="90" spans="1:21" x14ac:dyDescent="0.25">
      <c r="A90" s="876"/>
      <c r="B90" s="4"/>
      <c r="C90" s="23"/>
      <c r="D90" s="23"/>
      <c r="E90" s="23"/>
      <c r="F90" s="23"/>
      <c r="G90" s="23"/>
      <c r="H90" s="23"/>
      <c r="I90" s="23"/>
      <c r="J90" s="23"/>
      <c r="K90" s="23"/>
      <c r="L90" s="23"/>
      <c r="M90" s="23"/>
      <c r="N90" s="4"/>
      <c r="O90" s="23"/>
      <c r="P90" s="23"/>
      <c r="Q90" s="23"/>
      <c r="R90" s="4"/>
      <c r="S90" s="4"/>
      <c r="T90" s="4"/>
      <c r="U90"/>
    </row>
    <row r="91" spans="1:21" x14ac:dyDescent="0.25">
      <c r="A91" s="876"/>
      <c r="B91" s="4"/>
      <c r="C91" s="23"/>
      <c r="D91" s="23"/>
      <c r="E91" s="23"/>
      <c r="F91" s="23"/>
      <c r="G91" s="23"/>
      <c r="H91" s="23"/>
      <c r="I91" s="23"/>
      <c r="J91" s="23"/>
      <c r="K91" s="23"/>
      <c r="L91" s="23"/>
      <c r="M91" s="23"/>
      <c r="N91" s="4"/>
      <c r="O91" s="23"/>
      <c r="P91" s="23"/>
      <c r="Q91" s="23"/>
      <c r="R91" s="4"/>
      <c r="S91" s="4"/>
      <c r="T91" s="4"/>
      <c r="U91"/>
    </row>
    <row r="92" spans="1:21" x14ac:dyDescent="0.25">
      <c r="A92" s="876"/>
      <c r="B92" s="4"/>
      <c r="C92" s="23"/>
      <c r="D92" s="23"/>
      <c r="E92" s="23"/>
      <c r="F92" s="23"/>
      <c r="G92" s="23"/>
      <c r="H92" s="23"/>
      <c r="I92" s="23"/>
      <c r="J92" s="23"/>
      <c r="K92" s="23"/>
      <c r="L92" s="23"/>
      <c r="M92" s="23"/>
      <c r="N92" s="4"/>
      <c r="O92" s="23"/>
      <c r="P92" s="23"/>
      <c r="Q92" s="23"/>
      <c r="R92" s="4"/>
      <c r="S92" s="4"/>
      <c r="T92" s="4"/>
      <c r="U92"/>
    </row>
    <row r="93" spans="1:21" x14ac:dyDescent="0.25">
      <c r="A93" s="876"/>
      <c r="B93" s="4"/>
      <c r="C93" s="23"/>
      <c r="D93" s="23"/>
      <c r="E93" s="23"/>
      <c r="F93" s="23"/>
      <c r="G93" s="23"/>
      <c r="H93" s="23"/>
      <c r="I93" s="23"/>
      <c r="J93" s="23"/>
      <c r="K93" s="23"/>
      <c r="L93" s="23"/>
      <c r="M93" s="23"/>
      <c r="N93" s="4"/>
      <c r="O93" s="23"/>
      <c r="P93" s="23"/>
      <c r="Q93" s="23"/>
      <c r="R93" s="4"/>
      <c r="S93" s="4"/>
      <c r="T93" s="4"/>
      <c r="U93"/>
    </row>
    <row r="94" spans="1:21" x14ac:dyDescent="0.25">
      <c r="A94" s="876"/>
      <c r="B94" s="4"/>
      <c r="C94" s="23"/>
      <c r="D94" s="23"/>
      <c r="E94" s="23"/>
      <c r="F94" s="23"/>
      <c r="G94" s="23"/>
      <c r="H94" s="23"/>
      <c r="I94" s="23"/>
      <c r="J94" s="23"/>
      <c r="K94" s="23"/>
      <c r="L94" s="23"/>
      <c r="M94" s="23"/>
      <c r="N94" s="4"/>
      <c r="O94" s="23"/>
      <c r="P94" s="23"/>
      <c r="Q94" s="23"/>
      <c r="R94" s="4"/>
      <c r="S94" s="4"/>
      <c r="T94" s="4"/>
      <c r="U94"/>
    </row>
    <row r="95" spans="1:21" x14ac:dyDescent="0.25">
      <c r="A95" s="876"/>
      <c r="B95" s="4"/>
      <c r="C95" s="23"/>
      <c r="D95" s="23"/>
      <c r="E95" s="23"/>
      <c r="F95" s="23"/>
      <c r="G95" s="23"/>
      <c r="H95" s="23"/>
      <c r="I95" s="23"/>
      <c r="J95" s="23"/>
      <c r="K95" s="23"/>
      <c r="L95" s="23"/>
      <c r="M95" s="23"/>
      <c r="N95" s="4"/>
      <c r="O95" s="23"/>
      <c r="P95" s="23"/>
      <c r="Q95" s="23"/>
      <c r="R95" s="4"/>
      <c r="S95" s="4"/>
      <c r="T95" s="4"/>
      <c r="U95"/>
    </row>
    <row r="96" spans="1:21" x14ac:dyDescent="0.25">
      <c r="A96" s="876"/>
      <c r="B96" s="4"/>
      <c r="C96" s="23"/>
      <c r="D96" s="23"/>
      <c r="E96" s="23"/>
      <c r="F96" s="23"/>
      <c r="G96" s="23"/>
      <c r="H96" s="23"/>
      <c r="I96" s="23"/>
      <c r="J96" s="23"/>
      <c r="K96" s="23"/>
      <c r="L96" s="23"/>
      <c r="M96" s="23"/>
      <c r="N96" s="4"/>
      <c r="O96" s="23"/>
      <c r="P96" s="23"/>
      <c r="Q96" s="23"/>
      <c r="R96" s="4"/>
      <c r="S96" s="4"/>
      <c r="T96" s="4"/>
      <c r="U96"/>
    </row>
    <row r="97" spans="1:21" x14ac:dyDescent="0.25">
      <c r="A97" s="876"/>
      <c r="B97" s="4"/>
      <c r="C97" s="23"/>
      <c r="D97" s="23"/>
      <c r="E97" s="23"/>
      <c r="F97" s="23"/>
      <c r="G97" s="23"/>
      <c r="H97" s="23"/>
      <c r="I97" s="23"/>
      <c r="J97" s="23"/>
      <c r="K97" s="23"/>
      <c r="L97" s="23"/>
      <c r="M97" s="23"/>
      <c r="N97" s="4"/>
      <c r="O97" s="23"/>
      <c r="P97" s="23"/>
      <c r="Q97" s="23"/>
      <c r="R97" s="4"/>
      <c r="S97" s="4"/>
      <c r="T97" s="4"/>
      <c r="U97"/>
    </row>
    <row r="98" spans="1:21" x14ac:dyDescent="0.25">
      <c r="A98" s="876"/>
      <c r="B98" s="4"/>
      <c r="C98" s="23"/>
      <c r="D98" s="23"/>
      <c r="E98" s="23"/>
      <c r="F98" s="23"/>
      <c r="G98" s="23"/>
      <c r="H98" s="23"/>
      <c r="I98" s="23"/>
      <c r="J98" s="23"/>
      <c r="K98" s="23"/>
      <c r="L98" s="23"/>
      <c r="M98" s="23"/>
      <c r="N98" s="4"/>
      <c r="O98" s="23"/>
      <c r="P98" s="23"/>
      <c r="Q98" s="23"/>
      <c r="R98" s="4"/>
      <c r="S98" s="4"/>
      <c r="T98" s="4"/>
      <c r="U98"/>
    </row>
    <row r="99" spans="1:21" x14ac:dyDescent="0.25">
      <c r="A99" s="876"/>
      <c r="B99" s="4"/>
      <c r="C99" s="23"/>
      <c r="D99" s="23"/>
      <c r="E99" s="23"/>
      <c r="F99" s="23"/>
      <c r="G99" s="23"/>
      <c r="H99" s="23"/>
      <c r="I99" s="23"/>
      <c r="J99" s="23"/>
      <c r="K99" s="23"/>
      <c r="L99" s="23"/>
      <c r="M99" s="23"/>
      <c r="N99" s="4"/>
      <c r="O99" s="23"/>
      <c r="P99" s="23"/>
      <c r="Q99" s="23"/>
      <c r="R99" s="4"/>
      <c r="S99" s="4"/>
      <c r="T99" s="4"/>
      <c r="U99"/>
    </row>
    <row r="100" spans="1:21" x14ac:dyDescent="0.25">
      <c r="A100" s="876"/>
      <c r="B100" s="4"/>
      <c r="C100" s="23"/>
      <c r="D100" s="23"/>
      <c r="E100" s="23"/>
      <c r="F100" s="23"/>
      <c r="G100" s="23"/>
      <c r="H100" s="23"/>
      <c r="I100" s="23"/>
      <c r="J100" s="23"/>
      <c r="K100" s="23"/>
      <c r="L100" s="23"/>
      <c r="M100" s="23"/>
      <c r="N100" s="4"/>
      <c r="O100" s="23"/>
      <c r="P100" s="23"/>
      <c r="Q100" s="23"/>
      <c r="R100" s="4"/>
      <c r="S100" s="4"/>
      <c r="T100" s="4"/>
      <c r="U100"/>
    </row>
    <row r="101" spans="1:21" x14ac:dyDescent="0.25">
      <c r="A101" s="876"/>
      <c r="B101" s="4"/>
      <c r="C101" s="23"/>
      <c r="D101" s="23"/>
      <c r="E101" s="23"/>
      <c r="F101" s="23"/>
      <c r="G101" s="23"/>
      <c r="H101" s="23"/>
      <c r="I101" s="23"/>
      <c r="J101" s="23"/>
      <c r="K101" s="23"/>
      <c r="L101" s="23"/>
      <c r="M101" s="23"/>
      <c r="N101" s="4"/>
      <c r="O101" s="23"/>
      <c r="P101" s="23"/>
      <c r="Q101" s="23"/>
      <c r="R101" s="4"/>
      <c r="S101" s="4"/>
      <c r="T101" s="4"/>
      <c r="U101"/>
    </row>
    <row r="102" spans="1:21" x14ac:dyDescent="0.25">
      <c r="A102" s="876"/>
      <c r="B102" s="4"/>
      <c r="C102" s="23"/>
      <c r="D102" s="23"/>
      <c r="E102" s="23"/>
      <c r="F102" s="23"/>
      <c r="G102" s="23"/>
      <c r="H102" s="23"/>
      <c r="I102" s="23"/>
      <c r="J102" s="23"/>
      <c r="K102" s="23"/>
      <c r="L102" s="23"/>
      <c r="M102" s="23"/>
      <c r="N102" s="4"/>
      <c r="O102" s="23"/>
      <c r="P102" s="23"/>
      <c r="Q102" s="23"/>
      <c r="R102" s="4"/>
      <c r="S102" s="4"/>
      <c r="T102" s="4"/>
      <c r="U102"/>
    </row>
    <row r="103" spans="1:21" x14ac:dyDescent="0.25">
      <c r="A103" s="876"/>
      <c r="B103" s="4"/>
      <c r="C103" s="23"/>
      <c r="D103" s="23"/>
      <c r="E103" s="23"/>
      <c r="F103" s="23"/>
      <c r="G103" s="23"/>
      <c r="H103" s="23"/>
      <c r="I103" s="23"/>
      <c r="J103" s="23"/>
      <c r="K103" s="23"/>
      <c r="L103" s="23"/>
      <c r="M103" s="23"/>
      <c r="N103" s="4"/>
      <c r="O103" s="23"/>
      <c r="P103" s="23"/>
      <c r="Q103" s="23"/>
      <c r="R103" s="4"/>
      <c r="S103" s="4"/>
      <c r="T103" s="4"/>
      <c r="U103"/>
    </row>
    <row r="104" spans="1:21" x14ac:dyDescent="0.25">
      <c r="A104" s="876"/>
      <c r="B104" s="4"/>
      <c r="C104" s="23"/>
      <c r="D104" s="23"/>
      <c r="E104" s="23"/>
      <c r="F104" s="23"/>
      <c r="G104" s="23"/>
      <c r="H104" s="23"/>
      <c r="I104" s="23"/>
      <c r="J104" s="23"/>
      <c r="K104" s="23"/>
      <c r="L104" s="23"/>
      <c r="M104" s="23"/>
      <c r="N104" s="4"/>
      <c r="O104" s="23"/>
      <c r="P104" s="23"/>
      <c r="Q104" s="23"/>
      <c r="R104" s="4"/>
      <c r="S104" s="4"/>
      <c r="T104" s="4"/>
      <c r="U104"/>
    </row>
    <row r="105" spans="1:21" x14ac:dyDescent="0.25">
      <c r="A105" s="876"/>
      <c r="B105" s="4"/>
      <c r="C105" s="23"/>
      <c r="D105" s="23"/>
      <c r="E105" s="23"/>
      <c r="F105" s="23"/>
      <c r="G105" s="23"/>
      <c r="H105" s="23"/>
      <c r="I105" s="23"/>
      <c r="J105" s="23"/>
      <c r="K105" s="23"/>
      <c r="L105" s="23"/>
      <c r="M105" s="23"/>
      <c r="N105" s="4"/>
      <c r="O105" s="23"/>
      <c r="P105" s="23"/>
      <c r="Q105" s="23"/>
      <c r="R105" s="4"/>
      <c r="S105" s="4"/>
      <c r="T105" s="4"/>
      <c r="U105"/>
    </row>
    <row r="106" spans="1:21" x14ac:dyDescent="0.25">
      <c r="A106" s="876"/>
      <c r="B106" s="4"/>
      <c r="C106" s="23"/>
      <c r="D106" s="23"/>
      <c r="E106" s="23"/>
      <c r="F106" s="23"/>
      <c r="G106" s="23"/>
      <c r="H106" s="23"/>
      <c r="I106" s="23"/>
      <c r="J106" s="23"/>
      <c r="K106" s="23"/>
      <c r="L106" s="23"/>
      <c r="M106" s="23"/>
      <c r="N106" s="4"/>
      <c r="O106" s="23"/>
      <c r="P106" s="23"/>
      <c r="Q106" s="23"/>
      <c r="R106" s="4"/>
      <c r="S106" s="4"/>
      <c r="T106" s="4"/>
      <c r="U106"/>
    </row>
    <row r="107" spans="1:21" x14ac:dyDescent="0.25">
      <c r="A107" s="876"/>
      <c r="B107" s="4"/>
      <c r="C107" s="23"/>
      <c r="D107" s="23"/>
      <c r="E107" s="23"/>
      <c r="F107" s="23"/>
      <c r="G107" s="23"/>
      <c r="H107" s="23"/>
      <c r="I107" s="23"/>
      <c r="J107" s="23"/>
      <c r="K107" s="23"/>
      <c r="L107" s="23"/>
      <c r="M107" s="23"/>
      <c r="N107" s="4"/>
      <c r="O107" s="23"/>
      <c r="P107" s="23"/>
      <c r="Q107" s="23"/>
      <c r="R107" s="4"/>
      <c r="S107" s="4"/>
      <c r="T107" s="4"/>
      <c r="U107"/>
    </row>
    <row r="108" spans="1:21" x14ac:dyDescent="0.25">
      <c r="A108" s="876"/>
      <c r="B108" s="4"/>
      <c r="C108" s="23"/>
      <c r="D108" s="23"/>
      <c r="E108" s="23"/>
      <c r="F108" s="23"/>
      <c r="G108" s="23"/>
      <c r="H108" s="23"/>
      <c r="I108" s="23"/>
      <c r="J108" s="23"/>
      <c r="K108" s="23"/>
      <c r="L108" s="23"/>
      <c r="M108" s="23"/>
      <c r="N108" s="4"/>
      <c r="O108" s="23"/>
      <c r="P108" s="23"/>
      <c r="Q108" s="23"/>
      <c r="R108" s="4"/>
      <c r="S108" s="4"/>
      <c r="T108" s="4"/>
      <c r="U108"/>
    </row>
    <row r="109" spans="1:21" x14ac:dyDescent="0.25">
      <c r="A109" s="876"/>
      <c r="B109" s="4"/>
      <c r="C109" s="23"/>
      <c r="D109" s="23"/>
      <c r="E109" s="23"/>
      <c r="F109" s="23"/>
      <c r="G109" s="23"/>
      <c r="H109" s="23"/>
      <c r="I109" s="23"/>
      <c r="J109" s="23"/>
      <c r="K109" s="23"/>
      <c r="L109" s="23"/>
      <c r="M109" s="23"/>
      <c r="N109" s="4"/>
      <c r="O109" s="23"/>
      <c r="P109" s="23"/>
      <c r="Q109" s="23"/>
      <c r="R109" s="4"/>
      <c r="S109" s="4"/>
      <c r="T109" s="4"/>
      <c r="U109"/>
    </row>
    <row r="110" spans="1:21" x14ac:dyDescent="0.25">
      <c r="A110" s="876"/>
      <c r="B110" s="4"/>
      <c r="C110" s="23"/>
      <c r="D110" s="23"/>
      <c r="E110" s="23"/>
      <c r="F110" s="23"/>
      <c r="G110" s="23"/>
      <c r="H110" s="23"/>
      <c r="I110" s="23"/>
      <c r="J110" s="23"/>
      <c r="K110" s="23"/>
      <c r="L110" s="23"/>
      <c r="M110" s="23"/>
      <c r="N110" s="4"/>
      <c r="O110" s="23"/>
      <c r="P110" s="23"/>
      <c r="Q110" s="23"/>
      <c r="R110" s="4"/>
      <c r="S110" s="4"/>
      <c r="T110" s="4"/>
      <c r="U110"/>
    </row>
    <row r="111" spans="1:21" x14ac:dyDescent="0.25">
      <c r="C111" s="114"/>
      <c r="U111"/>
    </row>
    <row r="112" spans="1:21" x14ac:dyDescent="0.25">
      <c r="C112" s="114"/>
      <c r="U112"/>
    </row>
    <row r="113" spans="3:21" x14ac:dyDescent="0.25">
      <c r="C113" s="114"/>
      <c r="U113"/>
    </row>
    <row r="114" spans="3:21" x14ac:dyDescent="0.25">
      <c r="C114" s="114"/>
      <c r="U114"/>
    </row>
    <row r="115" spans="3:21" x14ac:dyDescent="0.25">
      <c r="C115" s="114"/>
      <c r="U115"/>
    </row>
    <row r="116" spans="3:21" x14ac:dyDescent="0.25">
      <c r="C116" s="114"/>
      <c r="U116"/>
    </row>
    <row r="117" spans="3:21" x14ac:dyDescent="0.25">
      <c r="C117" s="114"/>
      <c r="U117"/>
    </row>
    <row r="118" spans="3:21" x14ac:dyDescent="0.25">
      <c r="C118" s="114"/>
      <c r="U118"/>
    </row>
    <row r="119" spans="3:21" x14ac:dyDescent="0.25">
      <c r="C119" s="114"/>
      <c r="U119"/>
    </row>
    <row r="120" spans="3:21" x14ac:dyDescent="0.25">
      <c r="C120" s="114"/>
      <c r="U120"/>
    </row>
    <row r="121" spans="3:21" x14ac:dyDescent="0.25">
      <c r="C121" s="114"/>
      <c r="U121"/>
    </row>
    <row r="122" spans="3:21" x14ac:dyDescent="0.25">
      <c r="C122" s="114"/>
      <c r="U122"/>
    </row>
    <row r="123" spans="3:21" x14ac:dyDescent="0.25">
      <c r="C123" s="114"/>
      <c r="U123"/>
    </row>
    <row r="124" spans="3:21" x14ac:dyDescent="0.25">
      <c r="C124" s="114"/>
      <c r="U124"/>
    </row>
    <row r="125" spans="3:21" x14ac:dyDescent="0.25">
      <c r="C125" s="114"/>
      <c r="D125"/>
      <c r="E125"/>
      <c r="F125"/>
      <c r="G125"/>
      <c r="H125"/>
      <c r="I125"/>
      <c r="J125"/>
      <c r="K125"/>
      <c r="L125"/>
      <c r="M125"/>
      <c r="O125"/>
      <c r="P125"/>
      <c r="Q125"/>
      <c r="U125"/>
    </row>
    <row r="126" spans="3:21" x14ac:dyDescent="0.25">
      <c r="C126" s="114"/>
      <c r="D126"/>
      <c r="E126"/>
      <c r="F126"/>
      <c r="G126"/>
      <c r="H126"/>
      <c r="I126"/>
      <c r="J126"/>
      <c r="K126"/>
      <c r="L126"/>
      <c r="M126"/>
      <c r="O126"/>
      <c r="P126"/>
      <c r="Q126"/>
      <c r="U126"/>
    </row>
    <row r="127" spans="3:21" x14ac:dyDescent="0.25">
      <c r="C127" s="114"/>
      <c r="D127"/>
      <c r="E127"/>
      <c r="F127"/>
      <c r="G127"/>
      <c r="H127"/>
      <c r="I127"/>
      <c r="J127"/>
      <c r="K127"/>
      <c r="L127"/>
      <c r="M127"/>
      <c r="O127"/>
      <c r="P127"/>
      <c r="Q127"/>
      <c r="U127"/>
    </row>
    <row r="128" spans="3:21" x14ac:dyDescent="0.25">
      <c r="C128" s="114"/>
      <c r="D128"/>
      <c r="E128"/>
      <c r="F128"/>
      <c r="G128"/>
      <c r="H128"/>
      <c r="I128"/>
      <c r="J128"/>
      <c r="K128"/>
      <c r="L128"/>
      <c r="M128"/>
      <c r="O128"/>
      <c r="P128"/>
      <c r="Q128"/>
      <c r="U128"/>
    </row>
    <row r="129" spans="3:21" x14ac:dyDescent="0.25">
      <c r="C129" s="114"/>
      <c r="D129"/>
      <c r="E129"/>
      <c r="F129"/>
      <c r="G129"/>
      <c r="H129"/>
      <c r="I129"/>
      <c r="J129"/>
      <c r="K129"/>
      <c r="L129"/>
      <c r="M129"/>
      <c r="O129"/>
      <c r="P129"/>
      <c r="Q129"/>
      <c r="U129"/>
    </row>
    <row r="130" spans="3:21" x14ac:dyDescent="0.25">
      <c r="C130" s="114"/>
      <c r="D130"/>
      <c r="E130"/>
      <c r="F130"/>
      <c r="G130"/>
      <c r="H130"/>
      <c r="I130"/>
      <c r="J130"/>
      <c r="K130"/>
      <c r="L130"/>
      <c r="M130"/>
      <c r="O130"/>
      <c r="P130"/>
      <c r="Q130"/>
      <c r="U130"/>
    </row>
    <row r="131" spans="3:21" x14ac:dyDescent="0.25">
      <c r="C131" s="114"/>
      <c r="D131"/>
      <c r="E131"/>
      <c r="F131"/>
      <c r="G131"/>
      <c r="H131"/>
      <c r="I131"/>
      <c r="J131"/>
      <c r="K131"/>
      <c r="L131"/>
      <c r="M131"/>
      <c r="O131"/>
      <c r="P131"/>
      <c r="Q131"/>
      <c r="U131"/>
    </row>
    <row r="132" spans="3:21" x14ac:dyDescent="0.25">
      <c r="C132" s="114"/>
      <c r="D132"/>
      <c r="E132"/>
      <c r="F132"/>
      <c r="G132"/>
      <c r="H132"/>
      <c r="I132"/>
      <c r="J132"/>
      <c r="K132"/>
      <c r="L132"/>
      <c r="M132"/>
      <c r="O132"/>
      <c r="P132"/>
      <c r="Q132"/>
      <c r="U132"/>
    </row>
    <row r="133" spans="3:21" x14ac:dyDescent="0.25">
      <c r="C133" s="114"/>
      <c r="D133"/>
      <c r="E133"/>
      <c r="F133"/>
      <c r="G133"/>
      <c r="H133"/>
      <c r="I133"/>
      <c r="J133"/>
      <c r="K133"/>
      <c r="L133"/>
      <c r="M133"/>
      <c r="O133"/>
      <c r="P133"/>
      <c r="Q133"/>
      <c r="U133"/>
    </row>
    <row r="134" spans="3:21" x14ac:dyDescent="0.25">
      <c r="C134" s="114"/>
      <c r="D134"/>
      <c r="E134"/>
      <c r="F134"/>
      <c r="G134"/>
      <c r="H134"/>
      <c r="I134"/>
      <c r="J134"/>
      <c r="K134"/>
      <c r="L134"/>
      <c r="M134"/>
      <c r="O134"/>
      <c r="P134"/>
      <c r="Q134"/>
      <c r="U134"/>
    </row>
    <row r="135" spans="3:21" x14ac:dyDescent="0.25">
      <c r="C135" s="114"/>
      <c r="D135"/>
      <c r="E135"/>
      <c r="F135"/>
      <c r="G135"/>
      <c r="H135"/>
      <c r="I135"/>
      <c r="J135"/>
      <c r="K135"/>
      <c r="L135"/>
      <c r="M135"/>
      <c r="O135"/>
      <c r="P135"/>
      <c r="Q135"/>
      <c r="U135"/>
    </row>
    <row r="136" spans="3:21" x14ac:dyDescent="0.25">
      <c r="C136" s="114"/>
      <c r="D136"/>
      <c r="E136"/>
      <c r="F136"/>
      <c r="G136"/>
      <c r="H136"/>
      <c r="I136"/>
      <c r="J136"/>
      <c r="K136"/>
      <c r="L136"/>
      <c r="M136"/>
      <c r="O136"/>
      <c r="P136"/>
      <c r="Q136"/>
      <c r="U136"/>
    </row>
    <row r="137" spans="3:21" x14ac:dyDescent="0.25">
      <c r="C137" s="114"/>
      <c r="D137"/>
      <c r="E137"/>
      <c r="F137"/>
      <c r="G137"/>
      <c r="H137"/>
      <c r="I137"/>
      <c r="J137"/>
      <c r="K137"/>
      <c r="L137"/>
      <c r="M137"/>
      <c r="O137"/>
      <c r="P137"/>
      <c r="Q137"/>
      <c r="U137"/>
    </row>
    <row r="138" spans="3:21" x14ac:dyDescent="0.25">
      <c r="C138" s="114"/>
      <c r="D138"/>
      <c r="E138"/>
      <c r="F138"/>
      <c r="G138"/>
      <c r="H138"/>
      <c r="I138"/>
      <c r="J138"/>
      <c r="K138"/>
      <c r="L138"/>
      <c r="M138"/>
      <c r="O138"/>
      <c r="P138"/>
      <c r="Q138"/>
      <c r="U138"/>
    </row>
    <row r="139" spans="3:21" x14ac:dyDescent="0.25">
      <c r="C139" s="114"/>
      <c r="D139"/>
      <c r="E139"/>
      <c r="F139"/>
      <c r="G139"/>
      <c r="H139"/>
      <c r="I139"/>
      <c r="J139"/>
      <c r="K139"/>
      <c r="L139"/>
      <c r="M139"/>
      <c r="O139"/>
      <c r="P139"/>
      <c r="Q139"/>
      <c r="U139"/>
    </row>
    <row r="140" spans="3:21" x14ac:dyDescent="0.25">
      <c r="C140" s="114"/>
      <c r="D140"/>
      <c r="E140"/>
      <c r="F140"/>
      <c r="G140"/>
      <c r="H140"/>
      <c r="I140"/>
      <c r="J140"/>
      <c r="K140"/>
      <c r="L140"/>
      <c r="M140"/>
      <c r="O140"/>
      <c r="P140"/>
      <c r="Q140"/>
      <c r="U140"/>
    </row>
    <row r="141" spans="3:21" x14ac:dyDescent="0.25">
      <c r="C141" s="114"/>
      <c r="D141"/>
      <c r="E141"/>
      <c r="F141"/>
      <c r="G141"/>
      <c r="H141"/>
      <c r="I141"/>
      <c r="J141"/>
      <c r="K141"/>
      <c r="L141"/>
      <c r="M141"/>
      <c r="O141"/>
      <c r="P141"/>
      <c r="Q141"/>
      <c r="U141"/>
    </row>
    <row r="142" spans="3:21" x14ac:dyDescent="0.25">
      <c r="C142" s="114"/>
      <c r="D142"/>
      <c r="E142"/>
      <c r="F142"/>
      <c r="G142"/>
      <c r="H142"/>
      <c r="I142"/>
      <c r="J142"/>
      <c r="K142"/>
      <c r="L142"/>
      <c r="M142"/>
      <c r="O142"/>
      <c r="P142"/>
      <c r="Q142"/>
      <c r="U142"/>
    </row>
    <row r="143" spans="3:21" x14ac:dyDescent="0.25">
      <c r="C143" s="114"/>
      <c r="D143"/>
      <c r="E143"/>
      <c r="F143"/>
      <c r="G143"/>
      <c r="H143"/>
      <c r="I143"/>
      <c r="J143"/>
      <c r="K143"/>
      <c r="L143"/>
      <c r="M143"/>
      <c r="O143"/>
      <c r="P143"/>
      <c r="Q143"/>
      <c r="U143"/>
    </row>
    <row r="144" spans="3:21" x14ac:dyDescent="0.25">
      <c r="C144" s="114"/>
      <c r="D144"/>
      <c r="E144"/>
      <c r="F144"/>
      <c r="G144"/>
      <c r="H144"/>
      <c r="I144"/>
      <c r="J144"/>
      <c r="K144"/>
      <c r="L144"/>
      <c r="M144"/>
      <c r="O144"/>
      <c r="P144"/>
      <c r="Q144"/>
      <c r="U144"/>
    </row>
    <row r="145" spans="3:21" x14ac:dyDescent="0.25">
      <c r="C145" s="114"/>
      <c r="D145"/>
      <c r="E145"/>
      <c r="F145"/>
      <c r="G145"/>
      <c r="H145"/>
      <c r="I145"/>
      <c r="J145"/>
      <c r="K145"/>
      <c r="L145"/>
      <c r="M145"/>
      <c r="O145"/>
      <c r="P145"/>
      <c r="Q145"/>
      <c r="U145"/>
    </row>
    <row r="146" spans="3:21" x14ac:dyDescent="0.25">
      <c r="C146" s="114"/>
      <c r="D146"/>
      <c r="E146"/>
      <c r="F146"/>
      <c r="G146"/>
      <c r="H146"/>
      <c r="I146"/>
      <c r="J146"/>
      <c r="K146"/>
      <c r="L146"/>
      <c r="M146"/>
      <c r="O146"/>
      <c r="P146"/>
      <c r="Q146"/>
      <c r="U146"/>
    </row>
    <row r="147" spans="3:21" x14ac:dyDescent="0.25">
      <c r="C147" s="114"/>
      <c r="D147"/>
      <c r="E147"/>
      <c r="F147"/>
      <c r="G147"/>
      <c r="H147"/>
      <c r="I147"/>
      <c r="J147"/>
      <c r="K147"/>
      <c r="L147"/>
      <c r="M147"/>
      <c r="O147"/>
      <c r="P147"/>
      <c r="Q147"/>
      <c r="U147"/>
    </row>
    <row r="148" spans="3:21" x14ac:dyDescent="0.25">
      <c r="C148" s="114"/>
      <c r="D148"/>
      <c r="E148"/>
      <c r="F148"/>
      <c r="G148"/>
      <c r="H148"/>
      <c r="I148"/>
      <c r="J148"/>
      <c r="K148"/>
      <c r="L148"/>
      <c r="M148"/>
      <c r="O148"/>
      <c r="P148"/>
      <c r="Q148"/>
      <c r="U148"/>
    </row>
    <row r="149" spans="3:21" x14ac:dyDescent="0.25">
      <c r="C149" s="114"/>
      <c r="D149"/>
      <c r="E149"/>
      <c r="F149"/>
      <c r="G149"/>
      <c r="H149"/>
      <c r="I149"/>
      <c r="J149"/>
      <c r="K149"/>
      <c r="L149"/>
      <c r="M149"/>
      <c r="O149"/>
      <c r="P149"/>
      <c r="Q149"/>
      <c r="U149"/>
    </row>
    <row r="150" spans="3:21" x14ac:dyDescent="0.25">
      <c r="C150" s="114"/>
      <c r="D150"/>
      <c r="E150"/>
      <c r="F150"/>
      <c r="G150"/>
      <c r="H150"/>
      <c r="I150"/>
      <c r="J150"/>
      <c r="K150"/>
      <c r="L150"/>
      <c r="M150"/>
      <c r="O150"/>
      <c r="P150"/>
      <c r="Q150"/>
      <c r="U150"/>
    </row>
    <row r="151" spans="3:21" x14ac:dyDescent="0.25">
      <c r="C151" s="114"/>
      <c r="D151"/>
      <c r="E151"/>
      <c r="F151"/>
      <c r="G151"/>
      <c r="H151"/>
      <c r="I151"/>
      <c r="J151"/>
      <c r="K151"/>
      <c r="L151"/>
      <c r="M151"/>
      <c r="O151"/>
      <c r="P151"/>
      <c r="Q151"/>
      <c r="U151"/>
    </row>
    <row r="152" spans="3:21" x14ac:dyDescent="0.25">
      <c r="C152" s="114"/>
      <c r="D152"/>
      <c r="E152"/>
      <c r="F152"/>
      <c r="G152"/>
      <c r="H152"/>
      <c r="I152"/>
      <c r="J152"/>
      <c r="K152"/>
      <c r="L152"/>
      <c r="M152"/>
      <c r="O152"/>
      <c r="P152"/>
      <c r="Q152"/>
      <c r="U152"/>
    </row>
    <row r="153" spans="3:21" x14ac:dyDescent="0.25">
      <c r="C153" s="114"/>
      <c r="D153"/>
      <c r="E153"/>
      <c r="F153"/>
      <c r="G153"/>
      <c r="H153"/>
      <c r="I153"/>
      <c r="J153"/>
      <c r="K153"/>
      <c r="L153"/>
      <c r="M153"/>
      <c r="O153"/>
      <c r="P153"/>
      <c r="Q153"/>
      <c r="U153"/>
    </row>
    <row r="154" spans="3:21" x14ac:dyDescent="0.25">
      <c r="C154" s="114"/>
      <c r="D154"/>
      <c r="E154"/>
      <c r="F154"/>
      <c r="G154"/>
      <c r="H154"/>
      <c r="I154"/>
      <c r="J154"/>
      <c r="K154"/>
      <c r="L154"/>
      <c r="M154"/>
      <c r="O154"/>
      <c r="P154"/>
      <c r="Q154"/>
      <c r="U154"/>
    </row>
    <row r="155" spans="3:21" x14ac:dyDescent="0.25">
      <c r="C155" s="114"/>
      <c r="D155"/>
      <c r="E155"/>
      <c r="F155"/>
      <c r="G155"/>
      <c r="H155"/>
      <c r="I155"/>
      <c r="J155"/>
      <c r="K155"/>
      <c r="L155"/>
      <c r="M155"/>
      <c r="O155"/>
      <c r="P155"/>
      <c r="Q155"/>
      <c r="U155"/>
    </row>
    <row r="156" spans="3:21" x14ac:dyDescent="0.25">
      <c r="C156" s="114"/>
      <c r="D156"/>
      <c r="E156"/>
      <c r="F156"/>
      <c r="G156"/>
      <c r="H156"/>
      <c r="I156"/>
      <c r="J156"/>
      <c r="K156"/>
      <c r="L156"/>
      <c r="M156"/>
      <c r="O156"/>
      <c r="P156"/>
      <c r="Q156"/>
      <c r="U156"/>
    </row>
    <row r="157" spans="3:21" x14ac:dyDescent="0.25">
      <c r="C157" s="114"/>
      <c r="D157"/>
      <c r="E157"/>
      <c r="F157"/>
      <c r="G157"/>
      <c r="H157"/>
      <c r="I157"/>
      <c r="J157"/>
      <c r="K157"/>
      <c r="L157"/>
      <c r="M157"/>
      <c r="O157"/>
      <c r="P157"/>
      <c r="Q157"/>
      <c r="U157"/>
    </row>
    <row r="158" spans="3:21" x14ac:dyDescent="0.25">
      <c r="C158" s="114"/>
      <c r="D158"/>
      <c r="E158"/>
      <c r="F158"/>
      <c r="G158"/>
      <c r="H158"/>
      <c r="I158"/>
      <c r="J158"/>
      <c r="K158"/>
      <c r="L158"/>
      <c r="M158"/>
      <c r="O158"/>
      <c r="P158"/>
      <c r="Q158"/>
      <c r="U158"/>
    </row>
    <row r="159" spans="3:21" x14ac:dyDescent="0.25">
      <c r="C159" s="114"/>
      <c r="D159"/>
      <c r="E159"/>
      <c r="F159"/>
      <c r="G159"/>
      <c r="H159"/>
      <c r="I159"/>
      <c r="J159"/>
      <c r="K159"/>
      <c r="L159"/>
      <c r="M159"/>
      <c r="O159"/>
      <c r="P159"/>
      <c r="Q159"/>
      <c r="U159"/>
    </row>
    <row r="160" spans="3:21" x14ac:dyDescent="0.25">
      <c r="C160" s="114"/>
      <c r="D160"/>
      <c r="E160"/>
      <c r="F160"/>
      <c r="G160"/>
      <c r="H160"/>
      <c r="I160"/>
      <c r="J160"/>
      <c r="K160"/>
      <c r="L160"/>
      <c r="M160"/>
      <c r="O160"/>
      <c r="P160"/>
      <c r="Q160"/>
      <c r="U160"/>
    </row>
    <row r="161" spans="3:21" x14ac:dyDescent="0.25">
      <c r="C161" s="114"/>
      <c r="D161"/>
      <c r="E161"/>
      <c r="F161"/>
      <c r="G161"/>
      <c r="H161"/>
      <c r="I161"/>
      <c r="J161"/>
      <c r="K161"/>
      <c r="L161"/>
      <c r="M161"/>
      <c r="O161"/>
      <c r="P161"/>
      <c r="Q161"/>
      <c r="U161"/>
    </row>
    <row r="162" spans="3:21" x14ac:dyDescent="0.25">
      <c r="C162" s="114"/>
      <c r="D162"/>
      <c r="E162"/>
      <c r="F162"/>
      <c r="G162"/>
      <c r="H162"/>
      <c r="I162"/>
      <c r="J162"/>
      <c r="K162"/>
      <c r="L162"/>
      <c r="M162"/>
      <c r="O162"/>
      <c r="P162"/>
      <c r="Q162"/>
      <c r="U162"/>
    </row>
  </sheetData>
  <phoneticPr fontId="0" type="noConversion"/>
  <hyperlinks>
    <hyperlink ref="A1" location="'Working Budget with funding det'!A1" display="Main " xr:uid="{00000000-0004-0000-2B00-000000000000}"/>
    <hyperlink ref="B1" location="'Table of Contents'!A1" display="TOC" xr:uid="{00000000-0004-0000-2B00-000001000000}"/>
  </hyperlinks>
  <pageMargins left="0.75" right="0.75" top="1" bottom="1" header="0.5" footer="0.5"/>
  <pageSetup fitToHeight="0" orientation="landscape" r:id="rId1"/>
  <headerFooter alignWithMargins="0">
    <oddFooter>&amp;L&amp;D     &amp;T&amp;C&amp;F&amp;R&amp;A</oddFooter>
  </headerFooter>
  <rowBreaks count="1" manualBreakCount="1">
    <brk id="27" max="1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92D050"/>
    <pageSetUpPr fitToPage="1"/>
  </sheetPr>
  <dimension ref="A1:U184"/>
  <sheetViews>
    <sheetView workbookViewId="0">
      <selection activeCell="P1" sqref="P1:P1048576"/>
    </sheetView>
  </sheetViews>
  <sheetFormatPr defaultRowHeight="13.2" x14ac:dyDescent="0.25"/>
  <cols>
    <col min="1" max="1" width="8.77734375" style="885"/>
    <col min="2" max="2" width="36.6640625" customWidth="1"/>
    <col min="3" max="3" width="14.44140625" style="1" hidden="1" customWidth="1"/>
    <col min="4" max="10" width="14.44140625" style="114" hidden="1" customWidth="1"/>
    <col min="11" max="13" width="14.44140625" style="114" customWidth="1"/>
    <col min="14" max="14" width="14.44140625" customWidth="1"/>
    <col min="15" max="17" width="14.44140625" style="1" customWidth="1"/>
    <col min="18" max="20" width="14.44140625" customWidth="1"/>
    <col min="21" max="21" width="14.6640625" style="2" customWidth="1"/>
  </cols>
  <sheetData>
    <row r="1" spans="1:20" x14ac:dyDescent="0.25">
      <c r="A1" s="874" t="s">
        <v>1021</v>
      </c>
      <c r="B1" s="371" t="s">
        <v>1348</v>
      </c>
      <c r="Q1"/>
    </row>
    <row r="2" spans="1:20" ht="13.8" x14ac:dyDescent="0.25">
      <c r="A2" s="875" t="s">
        <v>263</v>
      </c>
      <c r="B2" s="45"/>
      <c r="E2" s="141"/>
      <c r="I2" s="141" t="s">
        <v>257</v>
      </c>
      <c r="J2" s="141"/>
      <c r="K2" s="141"/>
      <c r="L2" s="141"/>
      <c r="M2" s="141"/>
      <c r="N2" s="61" t="s">
        <v>322</v>
      </c>
      <c r="P2" s="46" t="s">
        <v>500</v>
      </c>
    </row>
    <row r="3" spans="1:20" ht="13.8" thickBot="1" x14ac:dyDescent="0.3">
      <c r="A3" s="876"/>
      <c r="B3" s="4"/>
      <c r="C3" s="23"/>
      <c r="D3" s="23"/>
      <c r="E3" s="23"/>
      <c r="F3" s="23"/>
      <c r="G3" s="23"/>
      <c r="H3" s="23"/>
      <c r="I3" s="23"/>
      <c r="J3" s="23"/>
      <c r="K3" s="23"/>
      <c r="L3" s="23"/>
      <c r="M3" s="23"/>
      <c r="N3" s="4"/>
      <c r="O3" s="23"/>
      <c r="P3" s="4"/>
      <c r="Q3" s="4"/>
      <c r="T3" s="4"/>
    </row>
    <row r="4" spans="1:20" ht="13.8" thickTop="1" x14ac:dyDescent="0.25">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t="s">
        <v>910</v>
      </c>
    </row>
    <row r="5" spans="1:20" x14ac:dyDescent="0.25">
      <c r="A5" s="878"/>
      <c r="B5" s="209"/>
      <c r="C5" s="127"/>
      <c r="D5" s="87"/>
      <c r="E5" s="113"/>
      <c r="F5" s="113"/>
      <c r="G5" s="87"/>
      <c r="H5" s="113"/>
      <c r="I5" s="290"/>
      <c r="J5" s="290"/>
      <c r="K5" s="290"/>
      <c r="L5" s="290"/>
      <c r="M5" s="290"/>
      <c r="N5" s="113" t="s">
        <v>515</v>
      </c>
      <c r="O5" s="88" t="s">
        <v>7</v>
      </c>
      <c r="P5" s="203" t="s">
        <v>782</v>
      </c>
    </row>
    <row r="6" spans="1:20" x14ac:dyDescent="0.25">
      <c r="A6" s="878"/>
      <c r="B6" s="209"/>
      <c r="C6" s="127"/>
      <c r="D6" s="127"/>
      <c r="E6" s="127"/>
      <c r="F6" s="127"/>
      <c r="G6" s="127"/>
      <c r="H6" s="127"/>
      <c r="I6" s="88"/>
      <c r="J6" s="88"/>
      <c r="K6" s="88"/>
      <c r="L6" s="88"/>
      <c r="M6" s="88"/>
      <c r="N6" s="127"/>
      <c r="O6" s="88" t="s">
        <v>8</v>
      </c>
      <c r="P6" s="47" t="s">
        <v>543</v>
      </c>
    </row>
    <row r="7" spans="1:20"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44561</v>
      </c>
      <c r="O7" s="9" t="s">
        <v>9</v>
      </c>
      <c r="P7" s="9" t="s">
        <v>546</v>
      </c>
    </row>
    <row r="8" spans="1:20" ht="13.8" thickTop="1" x14ac:dyDescent="0.25">
      <c r="A8" s="908"/>
      <c r="B8" s="210"/>
      <c r="C8" s="132"/>
      <c r="D8" s="18"/>
      <c r="E8" s="18"/>
      <c r="F8" s="18"/>
      <c r="G8" s="18"/>
      <c r="H8" s="18"/>
      <c r="I8" s="19"/>
      <c r="J8" s="19"/>
      <c r="K8" s="19"/>
      <c r="L8" s="19"/>
      <c r="M8" s="19"/>
      <c r="N8" s="18"/>
      <c r="O8" s="19"/>
      <c r="P8" s="19"/>
    </row>
    <row r="9" spans="1:20" x14ac:dyDescent="0.25">
      <c r="A9" s="881">
        <v>5771</v>
      </c>
      <c r="B9" s="63" t="s">
        <v>220</v>
      </c>
      <c r="C9" s="130">
        <v>139890.25</v>
      </c>
      <c r="D9" s="13">
        <v>146786.22</v>
      </c>
      <c r="E9" s="13">
        <v>155125.34</v>
      </c>
      <c r="F9" s="13">
        <v>142242.03</v>
      </c>
      <c r="G9" s="13">
        <v>112649.07</v>
      </c>
      <c r="H9" s="13">
        <v>82486.720000000001</v>
      </c>
      <c r="I9" s="13">
        <v>71893.36</v>
      </c>
      <c r="J9" s="13">
        <v>69662.14</v>
      </c>
      <c r="K9" s="14">
        <v>81800</v>
      </c>
      <c r="L9" s="13">
        <v>71773.19</v>
      </c>
      <c r="M9" s="14">
        <v>81800</v>
      </c>
      <c r="N9" s="13">
        <v>28604.1</v>
      </c>
      <c r="O9" s="14">
        <v>70000</v>
      </c>
      <c r="P9" s="14"/>
    </row>
    <row r="10" spans="1:20" x14ac:dyDescent="0.25">
      <c r="A10" s="881">
        <v>5774</v>
      </c>
      <c r="B10" s="63" t="s">
        <v>221</v>
      </c>
      <c r="C10" s="130">
        <v>4102.79</v>
      </c>
      <c r="D10" s="13">
        <v>4039.92</v>
      </c>
      <c r="E10" s="13">
        <v>2826</v>
      </c>
      <c r="F10" s="13">
        <v>2292.12</v>
      </c>
      <c r="G10" s="13">
        <v>525</v>
      </c>
      <c r="H10" s="13">
        <v>2382.6</v>
      </c>
      <c r="I10" s="13">
        <v>2281.8000000000002</v>
      </c>
      <c r="J10" s="13">
        <v>1575.4</v>
      </c>
      <c r="K10" s="14">
        <v>1600</v>
      </c>
      <c r="L10" s="13">
        <v>1983.2</v>
      </c>
      <c r="M10" s="14">
        <v>2000</v>
      </c>
      <c r="N10" s="13"/>
      <c r="O10" s="14">
        <v>2500</v>
      </c>
      <c r="P10" s="14"/>
    </row>
    <row r="11" spans="1:20" ht="13.8" thickBot="1" x14ac:dyDescent="0.3">
      <c r="A11" s="881">
        <v>5776</v>
      </c>
      <c r="B11" s="63" t="s">
        <v>222</v>
      </c>
      <c r="C11" s="131"/>
      <c r="D11" s="15">
        <v>4000</v>
      </c>
      <c r="E11" s="15">
        <v>4000</v>
      </c>
      <c r="F11" s="15"/>
      <c r="G11" s="15"/>
      <c r="H11" s="15"/>
      <c r="I11" s="15">
        <v>0</v>
      </c>
      <c r="J11" s="15">
        <v>3236.95</v>
      </c>
      <c r="K11" s="16">
        <v>5000</v>
      </c>
      <c r="L11" s="15"/>
      <c r="M11" s="16">
        <v>4000</v>
      </c>
      <c r="N11" s="15"/>
      <c r="O11" s="16">
        <v>4000</v>
      </c>
      <c r="P11" s="16"/>
    </row>
    <row r="12" spans="1:20" x14ac:dyDescent="0.25">
      <c r="A12" s="881"/>
      <c r="B12" s="64" t="s">
        <v>449</v>
      </c>
      <c r="C12" s="132">
        <f t="shared" ref="C12:O12" si="0">SUM(C9:C11)</f>
        <v>143993.04</v>
      </c>
      <c r="D12" s="18">
        <f t="shared" si="0"/>
        <v>154826.14000000001</v>
      </c>
      <c r="E12" s="18">
        <f>SUM(E9:E11)</f>
        <v>161951.34</v>
      </c>
      <c r="F12" s="18">
        <f>SUM(F9:F11)</f>
        <v>144534.15</v>
      </c>
      <c r="G12" s="18">
        <f>SUM(G9:G11)</f>
        <v>113174.07</v>
      </c>
      <c r="H12" s="18">
        <f>SUM(H9:H11)</f>
        <v>84869.32</v>
      </c>
      <c r="I12" s="18">
        <f t="shared" si="0"/>
        <v>74175.16</v>
      </c>
      <c r="J12" s="18">
        <f t="shared" ref="J12" si="1">SUM(J9:J11)</f>
        <v>74474.489999999991</v>
      </c>
      <c r="K12" s="19">
        <f t="shared" ref="K12:M12" si="2">SUM(K9:K11)</f>
        <v>88400</v>
      </c>
      <c r="L12" s="18">
        <f t="shared" si="2"/>
        <v>73756.39</v>
      </c>
      <c r="M12" s="19">
        <f t="shared" si="2"/>
        <v>87800</v>
      </c>
      <c r="N12" s="18">
        <f t="shared" si="0"/>
        <v>28604.1</v>
      </c>
      <c r="O12" s="19">
        <f t="shared" si="0"/>
        <v>76500</v>
      </c>
      <c r="P12" s="19">
        <f>SUM(P9:P11)</f>
        <v>0</v>
      </c>
    </row>
    <row r="13" spans="1:20" x14ac:dyDescent="0.25">
      <c r="A13" s="881"/>
      <c r="B13" s="63"/>
      <c r="C13" s="130"/>
      <c r="D13" s="13"/>
      <c r="E13" s="13"/>
      <c r="F13" s="13"/>
      <c r="G13" s="13"/>
      <c r="H13" s="13"/>
      <c r="I13" s="13"/>
      <c r="J13" s="13"/>
      <c r="K13" s="14"/>
      <c r="L13" s="13"/>
      <c r="M13" s="14"/>
      <c r="N13" s="13"/>
      <c r="O13" s="14"/>
      <c r="P13" s="14"/>
    </row>
    <row r="14" spans="1:20" x14ac:dyDescent="0.25">
      <c r="A14" s="881"/>
      <c r="B14" s="63"/>
      <c r="C14" s="130"/>
      <c r="D14" s="13"/>
      <c r="E14" s="13"/>
      <c r="F14" s="13"/>
      <c r="G14" s="13"/>
      <c r="H14" s="13"/>
      <c r="I14" s="13"/>
      <c r="J14" s="13"/>
      <c r="K14" s="14"/>
      <c r="L14" s="13"/>
      <c r="M14" s="14"/>
      <c r="N14" s="13"/>
      <c r="O14" s="14"/>
      <c r="P14" s="14"/>
    </row>
    <row r="15" spans="1:20" ht="13.8" thickBot="1" x14ac:dyDescent="0.3">
      <c r="A15" s="882"/>
      <c r="B15" s="723" t="s">
        <v>667</v>
      </c>
      <c r="C15" s="714">
        <f t="shared" ref="C15:O15" si="3">+C12</f>
        <v>143993.04</v>
      </c>
      <c r="D15" s="21">
        <f t="shared" si="3"/>
        <v>154826.14000000001</v>
      </c>
      <c r="E15" s="21">
        <f t="shared" si="3"/>
        <v>161951.34</v>
      </c>
      <c r="F15" s="21">
        <f>+F12</f>
        <v>144534.15</v>
      </c>
      <c r="G15" s="21">
        <f>+G12</f>
        <v>113174.07</v>
      </c>
      <c r="H15" s="21">
        <f>+H12</f>
        <v>84869.32</v>
      </c>
      <c r="I15" s="21">
        <f t="shared" si="3"/>
        <v>74175.16</v>
      </c>
      <c r="J15" s="21">
        <f t="shared" ref="J15" si="4">+J12</f>
        <v>74474.489999999991</v>
      </c>
      <c r="K15" s="22">
        <f t="shared" ref="K15:M15" si="5">+K12</f>
        <v>88400</v>
      </c>
      <c r="L15" s="21">
        <f t="shared" si="5"/>
        <v>73756.39</v>
      </c>
      <c r="M15" s="22">
        <f t="shared" si="5"/>
        <v>87800</v>
      </c>
      <c r="N15" s="21">
        <f t="shared" si="3"/>
        <v>28604.1</v>
      </c>
      <c r="O15" s="22">
        <f t="shared" si="3"/>
        <v>76500</v>
      </c>
      <c r="P15" s="22">
        <f>+O15</f>
        <v>76500</v>
      </c>
    </row>
    <row r="16" spans="1:20" ht="13.8" thickTop="1" x14ac:dyDescent="0.25">
      <c r="A16" s="876"/>
      <c r="B16" s="724"/>
      <c r="C16" s="24"/>
      <c r="D16" s="24"/>
      <c r="E16" s="24"/>
      <c r="F16" s="24"/>
      <c r="G16" s="24"/>
      <c r="H16" s="24"/>
      <c r="I16" s="24"/>
      <c r="J16" s="24"/>
      <c r="K16" s="24"/>
      <c r="L16" s="24"/>
      <c r="M16" s="24"/>
      <c r="N16" s="25"/>
      <c r="O16" s="24"/>
      <c r="P16" s="77"/>
      <c r="Q16" s="23"/>
      <c r="R16" s="25"/>
      <c r="S16" s="25"/>
      <c r="T16" s="25"/>
    </row>
    <row r="17" spans="1:20" x14ac:dyDescent="0.25">
      <c r="A17" s="876"/>
      <c r="B17" s="724"/>
      <c r="C17" s="23"/>
      <c r="D17" s="23"/>
      <c r="E17" s="23"/>
      <c r="F17" s="23"/>
      <c r="G17" s="23"/>
      <c r="H17" s="23"/>
      <c r="I17" s="23"/>
      <c r="J17" s="23"/>
      <c r="K17" s="23"/>
      <c r="L17" s="23"/>
      <c r="M17" s="23"/>
      <c r="N17" s="27"/>
      <c r="O17" s="23"/>
      <c r="P17" s="77"/>
      <c r="Q17" s="27"/>
      <c r="R17" s="27"/>
      <c r="S17" s="27"/>
      <c r="T17" s="27"/>
    </row>
    <row r="18" spans="1:20" ht="13.8" thickBot="1" x14ac:dyDescent="0.3">
      <c r="A18" s="876"/>
      <c r="B18" s="724"/>
      <c r="C18" s="24"/>
      <c r="D18" s="24"/>
      <c r="E18" s="24"/>
      <c r="F18" s="24"/>
      <c r="G18" s="24"/>
      <c r="H18" s="24"/>
      <c r="I18" s="24"/>
      <c r="J18" s="24"/>
      <c r="K18" s="24"/>
      <c r="L18" s="24"/>
      <c r="M18" s="24"/>
      <c r="N18" s="25"/>
      <c r="O18" s="24"/>
      <c r="P18" s="24"/>
      <c r="Q18" s="24"/>
      <c r="R18" s="25"/>
      <c r="S18" s="25"/>
      <c r="T18" s="25"/>
    </row>
    <row r="19" spans="1:20" ht="13.8" thickTop="1" x14ac:dyDescent="0.25">
      <c r="A19" s="893"/>
      <c r="B19" s="452"/>
      <c r="C19" s="453" t="s">
        <v>127</v>
      </c>
      <c r="D19" s="454" t="s">
        <v>127</v>
      </c>
      <c r="E19" s="454" t="s">
        <v>127</v>
      </c>
      <c r="J19" s="455" t="s">
        <v>547</v>
      </c>
      <c r="K19" s="456" t="s">
        <v>9</v>
      </c>
      <c r="L19" s="457" t="s">
        <v>1073</v>
      </c>
      <c r="M19" s="457"/>
      <c r="N19" s="456" t="s">
        <v>686</v>
      </c>
      <c r="O19" s="458"/>
      <c r="P19" s="457"/>
      <c r="Q19" s="24"/>
      <c r="R19" s="25"/>
      <c r="S19" s="25"/>
      <c r="T19" s="25"/>
    </row>
    <row r="20" spans="1:20" ht="13.8" thickBot="1" x14ac:dyDescent="0.3">
      <c r="A20" s="894" t="s">
        <v>128</v>
      </c>
      <c r="B20" s="459"/>
      <c r="C20" s="460" t="s">
        <v>347</v>
      </c>
      <c r="D20" s="460" t="s">
        <v>722</v>
      </c>
      <c r="E20" s="461" t="s">
        <v>737</v>
      </c>
      <c r="J20" s="462" t="s">
        <v>909</v>
      </c>
      <c r="K20" s="462" t="s">
        <v>910</v>
      </c>
      <c r="L20" s="461" t="s">
        <v>1075</v>
      </c>
      <c r="M20" s="462"/>
      <c r="N20" s="463" t="s">
        <v>1075</v>
      </c>
      <c r="O20" s="464" t="s">
        <v>1074</v>
      </c>
      <c r="P20" s="462"/>
      <c r="Q20" s="23"/>
      <c r="R20" s="27"/>
      <c r="S20" s="27"/>
      <c r="T20" s="27"/>
    </row>
    <row r="21" spans="1:20" ht="13.8" thickTop="1" x14ac:dyDescent="0.25">
      <c r="A21" s="910"/>
      <c r="B21" s="480"/>
      <c r="C21" s="468"/>
      <c r="D21" s="468"/>
      <c r="E21" s="468"/>
      <c r="J21" s="469"/>
      <c r="K21" s="468"/>
      <c r="L21" s="500">
        <f>+K21-J21</f>
        <v>0</v>
      </c>
      <c r="M21" s="500"/>
      <c r="N21" s="477"/>
      <c r="O21" s="470"/>
      <c r="P21" s="471"/>
      <c r="Q21" s="23"/>
      <c r="R21" s="27"/>
      <c r="S21" s="27"/>
      <c r="T21" s="27"/>
    </row>
    <row r="22" spans="1:20" x14ac:dyDescent="0.25">
      <c r="A22" s="907">
        <v>5771</v>
      </c>
      <c r="B22" s="472" t="s">
        <v>220</v>
      </c>
      <c r="C22" s="476">
        <v>139890.25</v>
      </c>
      <c r="D22" s="476">
        <v>146786.22</v>
      </c>
      <c r="E22" s="476">
        <v>155125.34</v>
      </c>
      <c r="J22" s="475">
        <f>+M9</f>
        <v>81800</v>
      </c>
      <c r="K22" s="497">
        <f>+O9</f>
        <v>70000</v>
      </c>
      <c r="L22" s="500">
        <f>+K22-J22</f>
        <v>-11800</v>
      </c>
      <c r="M22" s="500"/>
      <c r="N22" s="477">
        <f>IF(J22+K22&lt;&gt;0,IF(J22&lt;&gt;0,IF(L22&lt;&gt;0,ROUND((+L22/J22),4),""),1),"")</f>
        <v>-0.14430000000000001</v>
      </c>
      <c r="O22" s="470" t="s">
        <v>1796</v>
      </c>
      <c r="P22" s="471"/>
      <c r="Q22" s="23"/>
      <c r="R22" s="27"/>
      <c r="S22" s="27"/>
      <c r="T22" s="27"/>
    </row>
    <row r="23" spans="1:20" x14ac:dyDescent="0.25">
      <c r="A23" s="907">
        <v>5774</v>
      </c>
      <c r="B23" s="472" t="s">
        <v>221</v>
      </c>
      <c r="C23" s="476">
        <v>4102.79</v>
      </c>
      <c r="D23" s="476">
        <v>4039.92</v>
      </c>
      <c r="E23" s="476">
        <v>2826</v>
      </c>
      <c r="J23" s="475">
        <f>+M10</f>
        <v>2000</v>
      </c>
      <c r="K23" s="497">
        <f>+O10</f>
        <v>2500</v>
      </c>
      <c r="L23" s="500">
        <f>+K23-J23</f>
        <v>500</v>
      </c>
      <c r="M23" s="500"/>
      <c r="N23" s="477">
        <f>IF(J23+K23&lt;&gt;0,IF(J23&lt;&gt;0,IF(L23&lt;&gt;0,ROUND((+L23/J23),4),""),1),"")</f>
        <v>0.25</v>
      </c>
      <c r="O23" s="470" t="s">
        <v>1797</v>
      </c>
      <c r="P23" s="471"/>
      <c r="Q23" s="23"/>
      <c r="R23" s="27"/>
      <c r="S23" s="27"/>
      <c r="T23" s="27"/>
    </row>
    <row r="24" spans="1:20" ht="13.8" thickBot="1" x14ac:dyDescent="0.3">
      <c r="A24" s="907">
        <v>5776</v>
      </c>
      <c r="B24" s="472" t="s">
        <v>222</v>
      </c>
      <c r="C24" s="474"/>
      <c r="D24" s="474">
        <v>4000</v>
      </c>
      <c r="E24" s="474">
        <v>4000</v>
      </c>
      <c r="J24" s="475">
        <f>+M11</f>
        <v>4000</v>
      </c>
      <c r="K24" s="497">
        <f>+O11</f>
        <v>4000</v>
      </c>
      <c r="L24" s="500">
        <f>+K24-J24</f>
        <v>0</v>
      </c>
      <c r="M24" s="500"/>
      <c r="N24" s="477" t="str">
        <f>IF(J24+K24&lt;&gt;0,IF(J24&lt;&gt;0,IF(L24&lt;&gt;0,ROUND((+L24/J24),4),""),1),"")</f>
        <v/>
      </c>
      <c r="O24" s="470"/>
      <c r="P24" s="471"/>
      <c r="Q24" s="23"/>
      <c r="R24" s="27"/>
      <c r="S24" s="27"/>
      <c r="T24" s="27"/>
    </row>
    <row r="25" spans="1:20" x14ac:dyDescent="0.25">
      <c r="A25" s="876"/>
      <c r="B25" s="4"/>
      <c r="C25" s="23"/>
      <c r="D25" s="23"/>
      <c r="E25" s="23"/>
      <c r="F25" s="23"/>
      <c r="G25" s="23"/>
      <c r="J25" s="23"/>
      <c r="K25" s="23"/>
      <c r="L25" s="23"/>
      <c r="M25" s="23"/>
      <c r="N25" s="27"/>
      <c r="O25" s="23"/>
      <c r="P25" s="23"/>
      <c r="Q25" s="23"/>
      <c r="R25" s="27"/>
      <c r="S25" s="27"/>
      <c r="T25" s="27"/>
    </row>
    <row r="26" spans="1:20" x14ac:dyDescent="0.25">
      <c r="A26" s="876">
        <v>43754</v>
      </c>
      <c r="B26" s="4" t="s">
        <v>1363</v>
      </c>
      <c r="C26" s="23"/>
      <c r="D26" s="23"/>
      <c r="E26" s="23"/>
      <c r="F26" s="23"/>
      <c r="G26" s="23"/>
      <c r="J26" s="742">
        <f>SUM(J22:J25)</f>
        <v>87800</v>
      </c>
      <c r="K26" s="742">
        <f>SUM(K22:K25)</f>
        <v>76500</v>
      </c>
      <c r="L26" s="202">
        <f>+K26-J26</f>
        <v>-11300</v>
      </c>
      <c r="M26" s="202"/>
      <c r="N26" s="743">
        <f>IF(J26+K26&lt;&gt;0,IF(J26&lt;&gt;0,IF(L26&lt;&gt;0,ROUND((+L26/J26),4),""),1),"")</f>
        <v>-0.12870000000000001</v>
      </c>
      <c r="O26" s="23"/>
      <c r="P26" s="23"/>
      <c r="Q26" s="23"/>
      <c r="R26" s="27"/>
      <c r="S26" s="27"/>
      <c r="T26" s="27"/>
    </row>
    <row r="27" spans="1:20" x14ac:dyDescent="0.25">
      <c r="A27" s="876"/>
      <c r="B27" s="4"/>
      <c r="C27" s="23"/>
      <c r="D27" s="23"/>
      <c r="E27" s="23"/>
      <c r="F27" s="23"/>
      <c r="G27" s="23"/>
      <c r="H27" s="23"/>
      <c r="I27" s="23"/>
      <c r="J27" s="23"/>
      <c r="K27" s="23"/>
      <c r="L27" s="23"/>
      <c r="M27" s="23"/>
      <c r="N27" s="27"/>
      <c r="O27" s="23"/>
      <c r="P27" s="23"/>
      <c r="Q27" s="23"/>
      <c r="R27" s="27"/>
      <c r="S27" s="27"/>
      <c r="T27" s="27"/>
    </row>
    <row r="28" spans="1:20" x14ac:dyDescent="0.25">
      <c r="A28" s="876"/>
      <c r="B28" s="4"/>
      <c r="C28" s="23"/>
      <c r="D28" s="23"/>
      <c r="E28" s="23"/>
      <c r="F28" s="23"/>
      <c r="G28" s="23"/>
      <c r="H28" s="23"/>
      <c r="I28" s="23"/>
      <c r="J28" s="23"/>
      <c r="K28" s="23"/>
      <c r="L28" s="23"/>
      <c r="M28" s="23"/>
      <c r="N28" s="27"/>
      <c r="O28" s="23"/>
      <c r="P28" s="23"/>
      <c r="Q28" s="23"/>
      <c r="R28" s="27"/>
      <c r="S28" s="27"/>
      <c r="T28" s="27"/>
    </row>
    <row r="29" spans="1:20" x14ac:dyDescent="0.25">
      <c r="A29" s="876"/>
      <c r="B29" s="4"/>
      <c r="C29" s="23"/>
      <c r="D29" s="23"/>
      <c r="E29" s="23"/>
      <c r="F29" s="23"/>
      <c r="G29" s="23"/>
      <c r="H29" s="23"/>
      <c r="I29" s="23"/>
      <c r="J29" s="23"/>
      <c r="K29" s="23"/>
      <c r="L29" s="23"/>
      <c r="M29" s="23"/>
      <c r="N29" s="27"/>
      <c r="O29" s="23"/>
      <c r="P29" s="23"/>
      <c r="Q29" s="23"/>
      <c r="R29" s="27"/>
      <c r="S29" s="27"/>
      <c r="T29" s="27"/>
    </row>
    <row r="30" spans="1:20" x14ac:dyDescent="0.25">
      <c r="A30" s="876"/>
      <c r="B30" s="4"/>
      <c r="C30" s="23"/>
      <c r="D30" s="23"/>
      <c r="E30" s="23"/>
      <c r="F30" s="23"/>
      <c r="G30" s="23"/>
      <c r="H30" s="23"/>
      <c r="I30" s="23"/>
      <c r="J30" s="23"/>
      <c r="K30" s="23"/>
      <c r="L30" s="23"/>
      <c r="M30" s="23"/>
      <c r="N30" s="27"/>
      <c r="O30" s="23"/>
      <c r="P30" s="23"/>
      <c r="Q30" s="23"/>
      <c r="R30" s="27"/>
      <c r="S30" s="27"/>
      <c r="T30" s="27"/>
    </row>
    <row r="31" spans="1:20" x14ac:dyDescent="0.25">
      <c r="A31" s="876"/>
      <c r="B31" s="4"/>
      <c r="C31" s="23"/>
      <c r="D31" s="23"/>
      <c r="E31" s="23"/>
      <c r="F31" s="23"/>
      <c r="G31" s="23"/>
      <c r="H31" s="23"/>
      <c r="I31" s="23"/>
      <c r="J31" s="23"/>
      <c r="K31" s="23"/>
      <c r="L31" s="23"/>
      <c r="M31" s="23"/>
      <c r="N31" s="27"/>
      <c r="O31" s="23"/>
      <c r="P31" s="23"/>
      <c r="Q31" s="23"/>
      <c r="R31" s="27"/>
      <c r="S31" s="27"/>
      <c r="T31" s="27"/>
    </row>
    <row r="32" spans="1:20" x14ac:dyDescent="0.25">
      <c r="A32" s="876"/>
      <c r="B32" s="4"/>
      <c r="C32" s="23"/>
      <c r="D32" s="23"/>
      <c r="E32" s="23"/>
      <c r="F32" s="23"/>
      <c r="G32" s="23"/>
      <c r="H32" s="23"/>
      <c r="I32" s="23"/>
      <c r="J32" s="23"/>
      <c r="K32" s="23"/>
      <c r="L32" s="23"/>
      <c r="M32" s="23"/>
      <c r="N32" s="27"/>
      <c r="O32" s="23"/>
      <c r="P32" s="23"/>
      <c r="Q32" s="23"/>
      <c r="R32" s="27"/>
      <c r="S32" s="27"/>
      <c r="T32" s="27"/>
    </row>
    <row r="33" spans="1:20" x14ac:dyDescent="0.25">
      <c r="A33" s="876"/>
      <c r="B33" s="4"/>
      <c r="C33" s="23"/>
      <c r="D33" s="23"/>
      <c r="E33" s="23"/>
      <c r="F33" s="23"/>
      <c r="G33" s="23"/>
      <c r="H33" s="23"/>
      <c r="I33" s="23"/>
      <c r="J33" s="23"/>
      <c r="K33" s="23"/>
      <c r="L33" s="23"/>
      <c r="M33" s="23"/>
      <c r="N33" s="27"/>
      <c r="O33" s="23"/>
      <c r="P33" s="23"/>
      <c r="Q33" s="23"/>
      <c r="R33" s="27"/>
      <c r="S33" s="27"/>
      <c r="T33" s="27"/>
    </row>
    <row r="34" spans="1:20" x14ac:dyDescent="0.25">
      <c r="A34" s="876"/>
      <c r="B34" s="4"/>
      <c r="C34" s="23"/>
      <c r="D34" s="23"/>
      <c r="E34" s="23"/>
      <c r="F34" s="23"/>
      <c r="G34" s="23"/>
      <c r="H34" s="23"/>
      <c r="I34" s="23"/>
      <c r="J34" s="23"/>
      <c r="K34" s="23"/>
      <c r="L34" s="23"/>
      <c r="M34" s="23"/>
      <c r="N34" s="27"/>
      <c r="O34" s="23"/>
      <c r="P34" s="23"/>
      <c r="Q34" s="23"/>
      <c r="R34" s="27"/>
      <c r="S34" s="27"/>
      <c r="T34" s="27"/>
    </row>
    <row r="35" spans="1:20" x14ac:dyDescent="0.25">
      <c r="A35" s="876"/>
      <c r="B35" s="4"/>
      <c r="C35" s="23"/>
      <c r="D35" s="23"/>
      <c r="E35" s="23"/>
      <c r="F35" s="23"/>
      <c r="G35" s="23"/>
      <c r="H35" s="23"/>
      <c r="I35" s="23"/>
      <c r="J35" s="23"/>
      <c r="K35" s="23"/>
      <c r="L35" s="23"/>
      <c r="M35" s="23"/>
      <c r="N35" s="27"/>
      <c r="O35" s="23"/>
      <c r="P35" s="23"/>
      <c r="Q35" s="23"/>
      <c r="R35" s="27"/>
      <c r="S35" s="27"/>
      <c r="T35" s="27"/>
    </row>
    <row r="36" spans="1:20" x14ac:dyDescent="0.25">
      <c r="A36" s="876"/>
      <c r="B36" s="4"/>
      <c r="C36" s="23"/>
      <c r="D36" s="23"/>
      <c r="E36" s="23"/>
      <c r="F36" s="23"/>
      <c r="G36" s="23"/>
      <c r="H36" s="23"/>
      <c r="I36" s="23"/>
      <c r="J36" s="23"/>
      <c r="K36" s="23"/>
      <c r="L36" s="23"/>
      <c r="M36" s="23"/>
      <c r="N36" s="27"/>
      <c r="O36" s="23"/>
      <c r="P36" s="23"/>
      <c r="Q36" s="23"/>
      <c r="R36" s="27"/>
      <c r="S36" s="27"/>
      <c r="T36" s="27"/>
    </row>
    <row r="37" spans="1:20" x14ac:dyDescent="0.25">
      <c r="A37" s="876"/>
      <c r="B37" s="4"/>
      <c r="C37" s="23"/>
      <c r="D37" s="23"/>
      <c r="E37" s="23"/>
      <c r="F37" s="23"/>
      <c r="G37" s="23"/>
      <c r="H37" s="23"/>
      <c r="I37" s="23"/>
      <c r="J37" s="23"/>
      <c r="K37" s="23"/>
      <c r="L37" s="23"/>
      <c r="M37" s="23"/>
      <c r="N37" s="27"/>
      <c r="O37" s="23"/>
      <c r="P37" s="23"/>
      <c r="Q37" s="23"/>
      <c r="R37" s="27"/>
      <c r="S37" s="27"/>
      <c r="T37" s="27"/>
    </row>
    <row r="38" spans="1:20" x14ac:dyDescent="0.25">
      <c r="A38" s="876"/>
      <c r="B38" s="4"/>
      <c r="C38" s="23"/>
      <c r="D38" s="23"/>
      <c r="E38" s="23"/>
      <c r="F38" s="23"/>
      <c r="G38" s="23"/>
      <c r="H38" s="23"/>
      <c r="I38" s="23"/>
      <c r="J38" s="23"/>
      <c r="K38" s="23"/>
      <c r="L38" s="23"/>
      <c r="M38" s="23"/>
      <c r="N38" s="27"/>
      <c r="O38" s="23"/>
      <c r="P38" s="23"/>
      <c r="Q38" s="23"/>
      <c r="R38" s="27"/>
      <c r="S38" s="27"/>
      <c r="T38" s="27"/>
    </row>
    <row r="39" spans="1:20" x14ac:dyDescent="0.25">
      <c r="A39" s="876"/>
      <c r="B39" s="4"/>
      <c r="C39" s="23"/>
      <c r="D39" s="23"/>
      <c r="E39" s="23"/>
      <c r="F39" s="23"/>
      <c r="G39" s="23"/>
      <c r="H39" s="23"/>
      <c r="I39" s="23"/>
      <c r="J39" s="23"/>
      <c r="K39" s="23"/>
      <c r="L39" s="23"/>
      <c r="M39" s="23"/>
      <c r="N39" s="27"/>
      <c r="O39" s="23"/>
      <c r="P39" s="23"/>
      <c r="Q39" s="23"/>
      <c r="R39" s="27"/>
      <c r="S39" s="27"/>
      <c r="T39" s="27"/>
    </row>
    <row r="40" spans="1:20" x14ac:dyDescent="0.25">
      <c r="A40" s="876"/>
      <c r="B40" s="4"/>
      <c r="C40" s="23"/>
      <c r="D40" s="23"/>
      <c r="E40" s="23"/>
      <c r="F40" s="23"/>
      <c r="G40" s="23"/>
      <c r="H40" s="23"/>
      <c r="I40" s="23"/>
      <c r="J40" s="23"/>
      <c r="K40" s="23"/>
      <c r="L40" s="23"/>
      <c r="M40" s="23"/>
      <c r="N40" s="27"/>
      <c r="O40" s="23"/>
      <c r="P40" s="23"/>
      <c r="Q40" s="23"/>
      <c r="R40" s="27"/>
      <c r="S40" s="27"/>
      <c r="T40" s="27"/>
    </row>
    <row r="41" spans="1:20" x14ac:dyDescent="0.25">
      <c r="A41" s="876"/>
      <c r="B41" s="4"/>
      <c r="C41" s="23"/>
      <c r="D41" s="23"/>
      <c r="E41" s="23"/>
      <c r="F41" s="23"/>
      <c r="G41" s="23"/>
      <c r="H41" s="23"/>
      <c r="I41" s="23"/>
      <c r="J41" s="23"/>
      <c r="K41" s="23"/>
      <c r="L41" s="23"/>
      <c r="M41" s="23"/>
      <c r="N41" s="27"/>
      <c r="O41" s="23"/>
      <c r="P41" s="23"/>
      <c r="Q41" s="23"/>
      <c r="R41" s="27"/>
      <c r="S41" s="27"/>
      <c r="T41" s="27"/>
    </row>
    <row r="42" spans="1:20" x14ac:dyDescent="0.25">
      <c r="A42" s="876"/>
      <c r="B42" s="4"/>
      <c r="C42" s="23"/>
      <c r="D42" s="23"/>
      <c r="E42" s="23"/>
      <c r="F42" s="23"/>
      <c r="G42" s="23"/>
      <c r="H42" s="23"/>
      <c r="I42" s="23"/>
      <c r="J42" s="23"/>
      <c r="K42" s="23"/>
      <c r="L42" s="23"/>
      <c r="M42" s="23"/>
      <c r="N42" s="27"/>
      <c r="O42" s="23"/>
      <c r="P42" s="23"/>
      <c r="Q42" s="23"/>
      <c r="R42" s="27"/>
      <c r="S42" s="27"/>
      <c r="T42" s="27"/>
    </row>
    <row r="43" spans="1:20" x14ac:dyDescent="0.25">
      <c r="A43" s="876"/>
      <c r="B43" s="4"/>
      <c r="C43" s="23"/>
      <c r="D43" s="23"/>
      <c r="E43" s="23"/>
      <c r="F43" s="23"/>
      <c r="G43" s="23"/>
      <c r="H43" s="23"/>
      <c r="I43" s="23"/>
      <c r="J43" s="23"/>
      <c r="K43" s="23"/>
      <c r="L43" s="23"/>
      <c r="M43" s="23"/>
      <c r="N43" s="27"/>
      <c r="O43" s="23"/>
      <c r="P43" s="23"/>
      <c r="Q43" s="23"/>
      <c r="R43" s="27"/>
      <c r="S43" s="27"/>
      <c r="T43" s="27"/>
    </row>
    <row r="44" spans="1:20" x14ac:dyDescent="0.25">
      <c r="A44" s="876"/>
      <c r="B44" s="4"/>
      <c r="C44" s="23"/>
      <c r="D44" s="23"/>
      <c r="E44" s="23"/>
      <c r="F44" s="23"/>
      <c r="G44" s="23"/>
      <c r="H44" s="23"/>
      <c r="I44" s="23"/>
      <c r="J44" s="23"/>
      <c r="K44" s="23"/>
      <c r="L44" s="23"/>
      <c r="M44" s="23"/>
      <c r="N44" s="27"/>
      <c r="O44" s="23"/>
      <c r="P44" s="23"/>
      <c r="Q44" s="23"/>
      <c r="R44" s="27"/>
      <c r="S44" s="27"/>
      <c r="T44" s="27"/>
    </row>
    <row r="45" spans="1:20" x14ac:dyDescent="0.25">
      <c r="A45" s="876"/>
      <c r="B45" s="4"/>
      <c r="C45" s="23"/>
      <c r="D45" s="23"/>
      <c r="E45" s="23"/>
      <c r="F45" s="23"/>
      <c r="G45" s="23"/>
      <c r="H45" s="23"/>
      <c r="I45" s="23"/>
      <c r="J45" s="23"/>
      <c r="K45" s="23"/>
      <c r="L45" s="23"/>
      <c r="M45" s="23"/>
      <c r="N45" s="27"/>
      <c r="O45" s="23"/>
      <c r="P45" s="23"/>
      <c r="Q45" s="23"/>
      <c r="R45" s="27"/>
      <c r="S45" s="27"/>
      <c r="T45" s="27"/>
    </row>
    <row r="46" spans="1:20" x14ac:dyDescent="0.25">
      <c r="A46" s="876"/>
      <c r="B46" s="4"/>
      <c r="C46" s="23"/>
      <c r="D46" s="23"/>
      <c r="E46" s="23"/>
      <c r="F46" s="23"/>
      <c r="G46" s="23"/>
      <c r="H46" s="23"/>
      <c r="I46" s="23"/>
      <c r="J46" s="23"/>
      <c r="K46" s="23"/>
      <c r="L46" s="23"/>
      <c r="M46" s="23"/>
      <c r="N46" s="27"/>
      <c r="O46" s="23"/>
      <c r="P46" s="23"/>
      <c r="Q46" s="23"/>
      <c r="R46" s="27"/>
      <c r="S46" s="27"/>
      <c r="T46" s="27"/>
    </row>
    <row r="47" spans="1:20" x14ac:dyDescent="0.25">
      <c r="A47" s="876"/>
      <c r="B47" s="4"/>
      <c r="C47" s="23"/>
      <c r="D47" s="23"/>
      <c r="E47" s="23"/>
      <c r="F47" s="23"/>
      <c r="G47" s="23"/>
      <c r="H47" s="23"/>
      <c r="I47" s="23"/>
      <c r="J47" s="23"/>
      <c r="K47" s="23"/>
      <c r="L47" s="23"/>
      <c r="M47" s="23"/>
      <c r="N47" s="27"/>
      <c r="O47" s="23"/>
      <c r="P47" s="23"/>
      <c r="Q47" s="23"/>
      <c r="R47" s="27"/>
      <c r="S47" s="27"/>
      <c r="T47" s="27"/>
    </row>
    <row r="48" spans="1:20" x14ac:dyDescent="0.25">
      <c r="A48" s="876"/>
      <c r="B48" s="4"/>
      <c r="C48" s="23"/>
      <c r="D48" s="23"/>
      <c r="E48" s="23"/>
      <c r="F48" s="23"/>
      <c r="G48" s="23"/>
      <c r="H48" s="23"/>
      <c r="I48" s="23"/>
      <c r="J48" s="23"/>
      <c r="K48" s="23"/>
      <c r="L48" s="23"/>
      <c r="M48" s="23"/>
      <c r="N48" s="27"/>
      <c r="O48" s="23"/>
      <c r="P48" s="23"/>
      <c r="Q48" s="23"/>
      <c r="R48" s="27"/>
      <c r="S48" s="27"/>
      <c r="T48" s="27"/>
    </row>
    <row r="49" spans="1:20" x14ac:dyDescent="0.25">
      <c r="A49" s="876"/>
      <c r="B49" s="4"/>
      <c r="C49" s="23"/>
      <c r="D49" s="23"/>
      <c r="E49" s="23"/>
      <c r="F49" s="23"/>
      <c r="G49" s="23"/>
      <c r="H49" s="23"/>
      <c r="I49" s="23"/>
      <c r="J49" s="23"/>
      <c r="K49" s="23"/>
      <c r="L49" s="23"/>
      <c r="M49" s="23"/>
      <c r="N49" s="27"/>
      <c r="O49" s="23"/>
      <c r="P49" s="23"/>
      <c r="Q49" s="23"/>
      <c r="R49" s="27"/>
      <c r="S49" s="27"/>
      <c r="T49" s="27"/>
    </row>
    <row r="50" spans="1:20" x14ac:dyDescent="0.25">
      <c r="A50" s="876"/>
      <c r="B50" s="4"/>
      <c r="C50" s="23"/>
      <c r="D50" s="23"/>
      <c r="E50" s="23"/>
      <c r="F50" s="23"/>
      <c r="G50" s="23"/>
      <c r="H50" s="23"/>
      <c r="I50" s="23"/>
      <c r="J50" s="23"/>
      <c r="K50" s="23"/>
      <c r="L50" s="23"/>
      <c r="M50" s="23"/>
      <c r="N50" s="27"/>
      <c r="O50" s="23"/>
      <c r="P50" s="23"/>
      <c r="Q50" s="23"/>
      <c r="R50" s="27"/>
      <c r="S50" s="27"/>
      <c r="T50" s="27"/>
    </row>
    <row r="51" spans="1:20" x14ac:dyDescent="0.25">
      <c r="A51" s="876"/>
      <c r="B51" s="4"/>
      <c r="C51" s="23"/>
      <c r="D51" s="23"/>
      <c r="E51" s="23"/>
      <c r="F51" s="23"/>
      <c r="G51" s="23"/>
      <c r="H51" s="23"/>
      <c r="I51" s="23"/>
      <c r="J51" s="23"/>
      <c r="K51" s="23"/>
      <c r="L51" s="23"/>
      <c r="M51" s="23"/>
      <c r="N51" s="27"/>
      <c r="O51" s="23"/>
      <c r="P51" s="23"/>
      <c r="Q51" s="23"/>
      <c r="R51" s="27"/>
      <c r="S51" s="27"/>
      <c r="T51" s="27"/>
    </row>
    <row r="52" spans="1:20" x14ac:dyDescent="0.25">
      <c r="A52" s="876"/>
      <c r="B52" s="4"/>
      <c r="C52" s="23"/>
      <c r="D52" s="23"/>
      <c r="E52" s="23"/>
      <c r="F52" s="23"/>
      <c r="G52" s="23"/>
      <c r="H52" s="23"/>
      <c r="I52" s="23"/>
      <c r="J52" s="23"/>
      <c r="K52" s="23"/>
      <c r="L52" s="23"/>
      <c r="M52" s="23"/>
      <c r="N52" s="27"/>
      <c r="O52" s="23"/>
      <c r="P52" s="23"/>
      <c r="Q52" s="23"/>
      <c r="R52" s="27"/>
      <c r="S52" s="27"/>
      <c r="T52" s="27"/>
    </row>
    <row r="53" spans="1:20" x14ac:dyDescent="0.25">
      <c r="A53" s="876"/>
      <c r="B53" s="4"/>
      <c r="C53" s="23"/>
      <c r="D53" s="23"/>
      <c r="E53" s="23"/>
      <c r="F53" s="23"/>
      <c r="G53" s="23"/>
      <c r="H53" s="23"/>
      <c r="I53" s="23"/>
      <c r="J53" s="23"/>
      <c r="K53" s="23"/>
      <c r="L53" s="23"/>
      <c r="M53" s="23"/>
      <c r="N53" s="27"/>
      <c r="O53" s="23"/>
      <c r="P53" s="23"/>
      <c r="Q53" s="23"/>
      <c r="R53" s="27"/>
      <c r="S53" s="27"/>
      <c r="T53" s="27"/>
    </row>
    <row r="54" spans="1:20" x14ac:dyDescent="0.25">
      <c r="A54" s="876"/>
      <c r="B54" s="4"/>
      <c r="C54" s="23"/>
      <c r="D54" s="23"/>
      <c r="E54" s="23"/>
      <c r="F54" s="23"/>
      <c r="G54" s="23"/>
      <c r="H54" s="23"/>
      <c r="I54" s="23"/>
      <c r="J54" s="23"/>
      <c r="K54" s="23"/>
      <c r="L54" s="23"/>
      <c r="M54" s="23"/>
      <c r="N54" s="27"/>
      <c r="O54" s="23"/>
      <c r="P54" s="23"/>
      <c r="Q54" s="23"/>
      <c r="R54" s="27"/>
      <c r="S54" s="27"/>
      <c r="T54" s="27"/>
    </row>
    <row r="55" spans="1:20" x14ac:dyDescent="0.25">
      <c r="A55" s="876"/>
      <c r="B55" s="4"/>
      <c r="C55" s="23"/>
      <c r="D55" s="23"/>
      <c r="E55" s="23"/>
      <c r="F55" s="23"/>
      <c r="G55" s="23"/>
      <c r="H55" s="23"/>
      <c r="I55" s="23"/>
      <c r="J55" s="23"/>
      <c r="K55" s="23"/>
      <c r="L55" s="23"/>
      <c r="M55" s="23"/>
      <c r="N55" s="27"/>
      <c r="O55" s="23"/>
      <c r="P55" s="23"/>
      <c r="Q55" s="23"/>
      <c r="R55" s="27"/>
      <c r="S55" s="27"/>
      <c r="T55" s="27"/>
    </row>
    <row r="56" spans="1:20" x14ac:dyDescent="0.25">
      <c r="A56" s="876"/>
      <c r="B56" s="4"/>
      <c r="C56" s="23"/>
      <c r="D56" s="23"/>
      <c r="E56" s="23"/>
      <c r="F56" s="23"/>
      <c r="G56" s="23"/>
      <c r="H56" s="23"/>
      <c r="I56" s="23"/>
      <c r="J56" s="23"/>
      <c r="K56" s="23"/>
      <c r="L56" s="23"/>
      <c r="M56" s="23"/>
      <c r="N56" s="27"/>
      <c r="O56" s="23"/>
      <c r="P56" s="23"/>
      <c r="Q56" s="23"/>
      <c r="R56" s="27"/>
      <c r="S56" s="27"/>
      <c r="T56" s="27"/>
    </row>
    <row r="57" spans="1:20" x14ac:dyDescent="0.25">
      <c r="A57" s="876"/>
      <c r="B57" s="4"/>
      <c r="C57" s="23"/>
      <c r="D57" s="23"/>
      <c r="E57" s="23"/>
      <c r="F57" s="23"/>
      <c r="G57" s="23"/>
      <c r="H57" s="23"/>
      <c r="I57" s="23"/>
      <c r="J57" s="23"/>
      <c r="K57" s="23"/>
      <c r="L57" s="23"/>
      <c r="M57" s="23"/>
      <c r="N57" s="27"/>
      <c r="O57" s="23"/>
      <c r="P57" s="23"/>
      <c r="Q57" s="23"/>
      <c r="R57" s="27"/>
      <c r="S57" s="27"/>
      <c r="T57" s="27"/>
    </row>
    <row r="58" spans="1:20" x14ac:dyDescent="0.25">
      <c r="A58" s="876"/>
      <c r="B58" s="4"/>
      <c r="C58" s="23"/>
      <c r="D58" s="23"/>
      <c r="E58" s="23"/>
      <c r="F58" s="23"/>
      <c r="G58" s="23"/>
      <c r="H58" s="23"/>
      <c r="I58" s="23"/>
      <c r="J58" s="23"/>
      <c r="K58" s="23"/>
      <c r="L58" s="23"/>
      <c r="M58" s="23"/>
      <c r="N58" s="27"/>
      <c r="O58" s="23"/>
      <c r="P58" s="23"/>
      <c r="Q58" s="23"/>
      <c r="R58" s="27"/>
      <c r="S58" s="27"/>
      <c r="T58" s="27"/>
    </row>
    <row r="59" spans="1:20" x14ac:dyDescent="0.25">
      <c r="A59" s="876"/>
      <c r="B59" s="4"/>
      <c r="C59" s="23"/>
      <c r="D59" s="23"/>
      <c r="E59" s="23"/>
      <c r="F59" s="23"/>
      <c r="G59" s="23"/>
      <c r="H59" s="23"/>
      <c r="I59" s="23"/>
      <c r="J59" s="23"/>
      <c r="K59" s="23"/>
      <c r="L59" s="23"/>
      <c r="M59" s="23"/>
      <c r="N59" s="27"/>
      <c r="O59" s="23"/>
      <c r="P59" s="23"/>
      <c r="Q59" s="23"/>
      <c r="R59" s="27"/>
      <c r="S59" s="27"/>
      <c r="T59" s="27"/>
    </row>
    <row r="60" spans="1:20" x14ac:dyDescent="0.25">
      <c r="A60" s="876"/>
      <c r="B60" s="4"/>
      <c r="C60" s="23"/>
      <c r="D60" s="23"/>
      <c r="E60" s="23"/>
      <c r="F60" s="23"/>
      <c r="G60" s="23"/>
      <c r="H60" s="23"/>
      <c r="I60" s="23"/>
      <c r="J60" s="23"/>
      <c r="K60" s="23"/>
      <c r="L60" s="23"/>
      <c r="M60" s="23"/>
      <c r="N60" s="27"/>
      <c r="O60" s="23"/>
      <c r="P60" s="23"/>
      <c r="Q60" s="23"/>
      <c r="R60" s="27"/>
      <c r="S60" s="27"/>
      <c r="T60" s="27"/>
    </row>
    <row r="61" spans="1:20" x14ac:dyDescent="0.25">
      <c r="A61" s="876"/>
      <c r="B61" s="4"/>
      <c r="C61" s="23"/>
      <c r="D61" s="23"/>
      <c r="E61" s="23"/>
      <c r="F61" s="23"/>
      <c r="G61" s="23"/>
      <c r="H61" s="23"/>
      <c r="I61" s="23"/>
      <c r="J61" s="23"/>
      <c r="K61" s="23"/>
      <c r="L61" s="23"/>
      <c r="M61" s="23"/>
      <c r="N61" s="27"/>
      <c r="O61" s="23"/>
      <c r="P61" s="23"/>
      <c r="Q61" s="23"/>
      <c r="R61" s="27"/>
      <c r="S61" s="27"/>
      <c r="T61" s="27"/>
    </row>
    <row r="62" spans="1:20" x14ac:dyDescent="0.25">
      <c r="A62" s="876"/>
      <c r="B62" s="4"/>
      <c r="C62" s="23"/>
      <c r="D62" s="23"/>
      <c r="E62" s="23"/>
      <c r="F62" s="23"/>
      <c r="G62" s="23"/>
      <c r="H62" s="23"/>
      <c r="I62" s="23"/>
      <c r="J62" s="23"/>
      <c r="K62" s="23"/>
      <c r="L62" s="23"/>
      <c r="M62" s="23"/>
      <c r="N62" s="27"/>
      <c r="O62" s="23"/>
      <c r="P62" s="23"/>
      <c r="Q62" s="23"/>
      <c r="R62" s="27"/>
      <c r="S62" s="27"/>
      <c r="T62" s="27"/>
    </row>
    <row r="63" spans="1:20" x14ac:dyDescent="0.25">
      <c r="A63" s="876"/>
      <c r="B63" s="4"/>
      <c r="C63" s="23"/>
      <c r="D63" s="23"/>
      <c r="E63" s="23"/>
      <c r="F63" s="23"/>
      <c r="G63" s="23"/>
      <c r="H63" s="23"/>
      <c r="I63" s="23"/>
      <c r="J63" s="23"/>
      <c r="K63" s="23"/>
      <c r="L63" s="23"/>
      <c r="M63" s="23"/>
      <c r="N63" s="27"/>
      <c r="O63" s="23"/>
      <c r="P63" s="23"/>
      <c r="Q63" s="23"/>
      <c r="R63" s="27"/>
      <c r="S63" s="27"/>
      <c r="T63" s="27"/>
    </row>
    <row r="64" spans="1:20" x14ac:dyDescent="0.25">
      <c r="A64" s="876"/>
      <c r="B64" s="4"/>
      <c r="C64" s="23"/>
      <c r="D64" s="23"/>
      <c r="E64" s="23"/>
      <c r="F64" s="23"/>
      <c r="G64" s="23"/>
      <c r="H64" s="23"/>
      <c r="I64" s="23"/>
      <c r="J64" s="23"/>
      <c r="K64" s="23"/>
      <c r="L64" s="23"/>
      <c r="M64" s="23"/>
      <c r="N64" s="4"/>
      <c r="O64" s="23"/>
      <c r="P64" s="23"/>
      <c r="Q64" s="23"/>
      <c r="R64" s="4"/>
      <c r="S64" s="4"/>
      <c r="T64" s="4"/>
    </row>
    <row r="65" spans="1:20" x14ac:dyDescent="0.25">
      <c r="A65" s="876"/>
      <c r="B65" s="4"/>
      <c r="C65" s="23"/>
      <c r="D65" s="23"/>
      <c r="E65" s="23"/>
      <c r="F65" s="23"/>
      <c r="G65" s="23"/>
      <c r="H65" s="23"/>
      <c r="I65" s="23"/>
      <c r="J65" s="23"/>
      <c r="K65" s="23"/>
      <c r="L65" s="23"/>
      <c r="M65" s="23"/>
      <c r="N65" s="4"/>
      <c r="O65" s="23"/>
      <c r="P65" s="23"/>
      <c r="Q65" s="23"/>
      <c r="R65" s="4"/>
      <c r="S65" s="4"/>
      <c r="T65" s="4"/>
    </row>
    <row r="66" spans="1:20" x14ac:dyDescent="0.25">
      <c r="A66" s="876"/>
      <c r="B66" s="4"/>
      <c r="C66" s="23"/>
      <c r="D66" s="23"/>
      <c r="E66" s="23"/>
      <c r="F66" s="23"/>
      <c r="G66" s="23"/>
      <c r="H66" s="23"/>
      <c r="I66" s="23"/>
      <c r="J66" s="23"/>
      <c r="K66" s="23"/>
      <c r="L66" s="23"/>
      <c r="M66" s="23"/>
      <c r="N66" s="4"/>
      <c r="O66" s="23"/>
      <c r="P66" s="23"/>
      <c r="Q66" s="23"/>
      <c r="R66" s="4"/>
      <c r="S66" s="4"/>
      <c r="T66" s="4"/>
    </row>
    <row r="67" spans="1:20" x14ac:dyDescent="0.25">
      <c r="A67" s="876"/>
      <c r="B67" s="4"/>
      <c r="C67" s="23"/>
      <c r="D67" s="23"/>
      <c r="E67" s="23"/>
      <c r="F67" s="23"/>
      <c r="G67" s="23"/>
      <c r="H67" s="23"/>
      <c r="I67" s="23"/>
      <c r="J67" s="23"/>
      <c r="K67" s="23"/>
      <c r="L67" s="23"/>
      <c r="M67" s="23"/>
      <c r="N67" s="4"/>
      <c r="O67" s="23"/>
      <c r="P67" s="23"/>
      <c r="Q67" s="23"/>
      <c r="R67" s="4"/>
      <c r="S67" s="4"/>
      <c r="T67" s="4"/>
    </row>
    <row r="68" spans="1:20" x14ac:dyDescent="0.25">
      <c r="A68" s="876"/>
      <c r="B68" s="4"/>
      <c r="C68" s="23"/>
      <c r="D68" s="23"/>
      <c r="E68" s="23"/>
      <c r="F68" s="23"/>
      <c r="G68" s="23"/>
      <c r="H68" s="23"/>
      <c r="I68" s="23"/>
      <c r="J68" s="23"/>
      <c r="K68" s="23"/>
      <c r="L68" s="23"/>
      <c r="M68" s="23"/>
      <c r="N68" s="4"/>
      <c r="O68" s="23"/>
      <c r="P68" s="23"/>
      <c r="Q68" s="23"/>
      <c r="R68" s="4"/>
      <c r="S68" s="4"/>
      <c r="T68" s="4"/>
    </row>
    <row r="69" spans="1:20" x14ac:dyDescent="0.25">
      <c r="A69" s="876"/>
      <c r="B69" s="4"/>
      <c r="C69" s="23"/>
      <c r="D69" s="23"/>
      <c r="E69" s="23"/>
      <c r="F69" s="23"/>
      <c r="G69" s="23"/>
      <c r="H69" s="23"/>
      <c r="I69" s="23"/>
      <c r="J69" s="23"/>
      <c r="K69" s="23"/>
      <c r="L69" s="23"/>
      <c r="M69" s="23"/>
      <c r="N69" s="4"/>
      <c r="O69" s="23"/>
      <c r="P69" s="23"/>
      <c r="Q69" s="23"/>
      <c r="R69" s="4"/>
      <c r="S69" s="4"/>
      <c r="T69" s="4"/>
    </row>
    <row r="70" spans="1:20" x14ac:dyDescent="0.25">
      <c r="A70" s="876"/>
      <c r="B70" s="4"/>
      <c r="C70" s="23"/>
      <c r="D70" s="23"/>
      <c r="E70" s="23"/>
      <c r="F70" s="23"/>
      <c r="G70" s="23"/>
      <c r="H70" s="23"/>
      <c r="I70" s="23"/>
      <c r="J70" s="23"/>
      <c r="K70" s="23"/>
      <c r="L70" s="23"/>
      <c r="M70" s="23"/>
      <c r="N70" s="4"/>
      <c r="O70" s="23"/>
      <c r="P70" s="23"/>
      <c r="Q70" s="23"/>
      <c r="R70" s="4"/>
      <c r="S70" s="4"/>
      <c r="T70" s="4"/>
    </row>
    <row r="71" spans="1:20" x14ac:dyDescent="0.25">
      <c r="A71" s="876"/>
      <c r="B71" s="4"/>
      <c r="C71" s="23"/>
      <c r="D71" s="23"/>
      <c r="E71" s="23"/>
      <c r="F71" s="23"/>
      <c r="G71" s="23"/>
      <c r="H71" s="23"/>
      <c r="I71" s="23"/>
      <c r="J71" s="23"/>
      <c r="K71" s="23"/>
      <c r="L71" s="23"/>
      <c r="M71" s="23"/>
      <c r="N71" s="4"/>
      <c r="O71" s="23"/>
      <c r="P71" s="23"/>
      <c r="Q71" s="23"/>
      <c r="R71" s="4"/>
      <c r="S71" s="4"/>
      <c r="T71" s="4"/>
    </row>
    <row r="72" spans="1:20" x14ac:dyDescent="0.25">
      <c r="A72" s="876"/>
      <c r="B72" s="4"/>
      <c r="C72" s="23"/>
      <c r="D72" s="23"/>
      <c r="E72" s="23"/>
      <c r="F72" s="23"/>
      <c r="G72" s="23"/>
      <c r="H72" s="23"/>
      <c r="I72" s="23"/>
      <c r="J72" s="23"/>
      <c r="K72" s="23"/>
      <c r="L72" s="23"/>
      <c r="M72" s="23"/>
      <c r="N72" s="4"/>
      <c r="O72" s="23"/>
      <c r="P72" s="23"/>
      <c r="Q72" s="23"/>
      <c r="R72" s="4"/>
      <c r="S72" s="4"/>
      <c r="T72" s="4"/>
    </row>
    <row r="73" spans="1:20" x14ac:dyDescent="0.25">
      <c r="A73" s="876"/>
      <c r="B73" s="4"/>
      <c r="C73" s="23"/>
      <c r="D73" s="23"/>
      <c r="E73" s="23"/>
      <c r="F73" s="23"/>
      <c r="G73" s="23"/>
      <c r="H73" s="23"/>
      <c r="I73" s="23"/>
      <c r="J73" s="23"/>
      <c r="K73" s="23"/>
      <c r="L73" s="23"/>
      <c r="M73" s="23"/>
      <c r="N73" s="4"/>
      <c r="O73" s="23"/>
      <c r="P73" s="23"/>
      <c r="Q73" s="23"/>
      <c r="R73" s="4"/>
      <c r="S73" s="4"/>
      <c r="T73" s="4"/>
    </row>
    <row r="74" spans="1:20" x14ac:dyDescent="0.25">
      <c r="A74" s="876"/>
      <c r="B74" s="4"/>
      <c r="C74" s="23"/>
      <c r="D74" s="23"/>
      <c r="E74" s="23"/>
      <c r="F74" s="23"/>
      <c r="G74" s="23"/>
      <c r="H74" s="23"/>
      <c r="I74" s="23"/>
      <c r="J74" s="23"/>
      <c r="K74" s="23"/>
      <c r="L74" s="23"/>
      <c r="M74" s="23"/>
      <c r="N74" s="4"/>
      <c r="O74" s="23"/>
      <c r="P74" s="23"/>
      <c r="Q74" s="23"/>
      <c r="R74" s="4"/>
      <c r="S74" s="4"/>
      <c r="T74" s="4"/>
    </row>
    <row r="75" spans="1:20" x14ac:dyDescent="0.25">
      <c r="A75" s="876"/>
      <c r="B75" s="4"/>
      <c r="C75" s="23"/>
      <c r="D75" s="23"/>
      <c r="E75" s="23"/>
      <c r="F75" s="23"/>
      <c r="G75" s="23"/>
      <c r="H75" s="23"/>
      <c r="I75" s="23"/>
      <c r="J75" s="23"/>
      <c r="K75" s="23"/>
      <c r="L75" s="23"/>
      <c r="M75" s="23"/>
      <c r="N75" s="4"/>
      <c r="O75" s="23"/>
      <c r="P75" s="23"/>
      <c r="Q75" s="23"/>
      <c r="R75" s="4"/>
      <c r="S75" s="4"/>
      <c r="T75" s="4"/>
    </row>
    <row r="76" spans="1:20" x14ac:dyDescent="0.25">
      <c r="A76" s="876"/>
      <c r="B76" s="4"/>
      <c r="C76" s="23"/>
      <c r="D76" s="23"/>
      <c r="E76" s="23"/>
      <c r="F76" s="23"/>
      <c r="G76" s="23"/>
      <c r="H76" s="23"/>
      <c r="I76" s="23"/>
      <c r="J76" s="23"/>
      <c r="K76" s="23"/>
      <c r="L76" s="23"/>
      <c r="M76" s="23"/>
      <c r="N76" s="4"/>
      <c r="O76" s="23"/>
      <c r="P76" s="23"/>
      <c r="Q76" s="23"/>
      <c r="R76" s="4"/>
      <c r="S76" s="4"/>
      <c r="T76" s="4"/>
    </row>
    <row r="77" spans="1:20" x14ac:dyDescent="0.25">
      <c r="A77" s="876"/>
      <c r="B77" s="4"/>
      <c r="C77" s="23"/>
      <c r="D77" s="23"/>
      <c r="E77" s="23"/>
      <c r="F77" s="23"/>
      <c r="G77" s="23"/>
      <c r="H77" s="23"/>
      <c r="I77" s="23"/>
      <c r="J77" s="23"/>
      <c r="K77" s="23"/>
      <c r="L77" s="23"/>
      <c r="M77" s="23"/>
      <c r="N77" s="4"/>
      <c r="O77" s="23"/>
      <c r="P77" s="23"/>
      <c r="Q77" s="23"/>
      <c r="R77" s="4"/>
      <c r="S77" s="4"/>
      <c r="T77" s="4"/>
    </row>
    <row r="78" spans="1:20" x14ac:dyDescent="0.25">
      <c r="A78" s="876"/>
      <c r="B78" s="4"/>
      <c r="C78" s="23"/>
      <c r="D78" s="23"/>
      <c r="E78" s="23"/>
      <c r="F78" s="23"/>
      <c r="G78" s="23"/>
      <c r="H78" s="23"/>
      <c r="I78" s="23"/>
      <c r="J78" s="23"/>
      <c r="K78" s="23"/>
      <c r="L78" s="23"/>
      <c r="M78" s="23"/>
      <c r="N78" s="4"/>
      <c r="O78" s="23"/>
      <c r="P78" s="23"/>
      <c r="Q78" s="23"/>
      <c r="R78" s="4"/>
      <c r="S78" s="4"/>
      <c r="T78" s="4"/>
    </row>
    <row r="79" spans="1:20" x14ac:dyDescent="0.25">
      <c r="A79" s="876"/>
      <c r="B79" s="4"/>
      <c r="C79" s="23"/>
      <c r="D79" s="23"/>
      <c r="E79" s="23"/>
      <c r="F79" s="23"/>
      <c r="G79" s="23"/>
      <c r="H79" s="23"/>
      <c r="I79" s="23"/>
      <c r="J79" s="23"/>
      <c r="K79" s="23"/>
      <c r="L79" s="23"/>
      <c r="M79" s="23"/>
      <c r="N79" s="4"/>
      <c r="O79" s="23"/>
      <c r="P79" s="23"/>
      <c r="Q79" s="23"/>
      <c r="R79" s="4"/>
      <c r="S79" s="4"/>
      <c r="T79" s="4"/>
    </row>
    <row r="80" spans="1:20" x14ac:dyDescent="0.25">
      <c r="A80" s="876"/>
      <c r="B80" s="4"/>
      <c r="C80" s="23"/>
      <c r="D80" s="23"/>
      <c r="E80" s="23"/>
      <c r="F80" s="23"/>
      <c r="G80" s="23"/>
      <c r="H80" s="23"/>
      <c r="I80" s="23"/>
      <c r="J80" s="23"/>
      <c r="K80" s="23"/>
      <c r="L80" s="23"/>
      <c r="M80" s="23"/>
      <c r="N80" s="4"/>
      <c r="O80" s="23"/>
      <c r="P80" s="23"/>
      <c r="Q80" s="23"/>
      <c r="R80" s="4"/>
      <c r="S80" s="4"/>
      <c r="T80" s="4"/>
    </row>
    <row r="81" spans="1:20" x14ac:dyDescent="0.25">
      <c r="A81" s="876"/>
      <c r="B81" s="4"/>
      <c r="C81" s="23"/>
      <c r="D81" s="23"/>
      <c r="E81" s="23"/>
      <c r="F81" s="23"/>
      <c r="G81" s="23"/>
      <c r="H81" s="23"/>
      <c r="I81" s="23"/>
      <c r="J81" s="23"/>
      <c r="K81" s="23"/>
      <c r="L81" s="23"/>
      <c r="M81" s="23"/>
      <c r="N81" s="4"/>
      <c r="O81" s="23"/>
      <c r="P81" s="23"/>
      <c r="Q81" s="23"/>
      <c r="R81" s="4"/>
      <c r="S81" s="4"/>
      <c r="T81" s="4"/>
    </row>
    <row r="82" spans="1:20" x14ac:dyDescent="0.25">
      <c r="A82" s="876"/>
      <c r="B82" s="4"/>
      <c r="C82" s="23"/>
      <c r="D82" s="23"/>
      <c r="E82" s="23"/>
      <c r="F82" s="23"/>
      <c r="G82" s="23"/>
      <c r="H82" s="23"/>
      <c r="I82" s="23"/>
      <c r="J82" s="23"/>
      <c r="K82" s="23"/>
      <c r="L82" s="23"/>
      <c r="M82" s="23"/>
      <c r="N82" s="4"/>
      <c r="O82" s="23"/>
      <c r="P82" s="23"/>
      <c r="Q82" s="23"/>
      <c r="R82" s="4"/>
      <c r="S82" s="4"/>
      <c r="T82" s="4"/>
    </row>
    <row r="83" spans="1:20" x14ac:dyDescent="0.25">
      <c r="A83" s="876"/>
      <c r="B83" s="4"/>
      <c r="C83" s="23"/>
      <c r="D83" s="23"/>
      <c r="E83" s="23"/>
      <c r="F83" s="23"/>
      <c r="G83" s="23"/>
      <c r="H83" s="23"/>
      <c r="I83" s="23"/>
      <c r="J83" s="23"/>
      <c r="K83" s="23"/>
      <c r="L83" s="23"/>
      <c r="M83" s="23"/>
      <c r="N83" s="4"/>
      <c r="O83" s="23"/>
      <c r="P83" s="23"/>
      <c r="Q83" s="23"/>
      <c r="R83" s="4"/>
      <c r="S83" s="4"/>
      <c r="T83" s="4"/>
    </row>
    <row r="84" spans="1:20" x14ac:dyDescent="0.25">
      <c r="A84" s="876"/>
      <c r="B84" s="4"/>
      <c r="C84" s="23"/>
      <c r="D84" s="23"/>
      <c r="E84" s="23"/>
      <c r="F84" s="23"/>
      <c r="G84" s="23"/>
      <c r="H84" s="23"/>
      <c r="I84" s="23"/>
      <c r="J84" s="23"/>
      <c r="K84" s="23"/>
      <c r="L84" s="23"/>
      <c r="M84" s="23"/>
      <c r="N84" s="4"/>
      <c r="O84" s="23"/>
      <c r="P84" s="23"/>
      <c r="Q84" s="23"/>
      <c r="R84" s="4"/>
      <c r="S84" s="4"/>
      <c r="T84" s="4"/>
    </row>
    <row r="85" spans="1:20" x14ac:dyDescent="0.25">
      <c r="A85" s="876"/>
      <c r="B85" s="4"/>
      <c r="C85" s="23"/>
      <c r="D85" s="23"/>
      <c r="E85" s="23"/>
      <c r="F85" s="23"/>
      <c r="G85" s="23"/>
      <c r="H85" s="23"/>
      <c r="I85" s="23"/>
      <c r="J85" s="23"/>
      <c r="K85" s="23"/>
      <c r="L85" s="23"/>
      <c r="M85" s="23"/>
      <c r="N85" s="4"/>
      <c r="O85" s="23"/>
      <c r="P85" s="23"/>
      <c r="Q85" s="23"/>
      <c r="R85" s="4"/>
      <c r="S85" s="4"/>
      <c r="T85" s="4"/>
    </row>
    <row r="86" spans="1:20" x14ac:dyDescent="0.25">
      <c r="A86" s="876"/>
      <c r="B86" s="4"/>
      <c r="C86" s="23"/>
      <c r="D86" s="23"/>
      <c r="E86" s="23"/>
      <c r="F86" s="23"/>
      <c r="G86" s="23"/>
      <c r="H86" s="23"/>
      <c r="I86" s="23"/>
      <c r="J86" s="23"/>
      <c r="K86" s="23"/>
      <c r="L86" s="23"/>
      <c r="M86" s="23"/>
      <c r="N86" s="4"/>
      <c r="O86" s="23"/>
      <c r="P86" s="23"/>
      <c r="Q86" s="23"/>
      <c r="R86" s="4"/>
      <c r="S86" s="4"/>
      <c r="T86" s="4"/>
    </row>
    <row r="87" spans="1:20" x14ac:dyDescent="0.25">
      <c r="A87" s="876"/>
      <c r="B87" s="4"/>
      <c r="C87" s="23"/>
      <c r="D87" s="23"/>
      <c r="E87" s="23"/>
      <c r="F87" s="23"/>
      <c r="G87" s="23"/>
      <c r="H87" s="23"/>
      <c r="I87" s="23"/>
      <c r="J87" s="23"/>
      <c r="K87" s="23"/>
      <c r="L87" s="23"/>
      <c r="M87" s="23"/>
      <c r="N87" s="4"/>
      <c r="O87" s="23"/>
      <c r="P87" s="23"/>
      <c r="Q87" s="23"/>
      <c r="R87" s="4"/>
      <c r="S87" s="4"/>
      <c r="T87" s="4"/>
    </row>
    <row r="88" spans="1:20" x14ac:dyDescent="0.25">
      <c r="A88" s="876"/>
      <c r="B88" s="4"/>
      <c r="C88" s="23"/>
      <c r="D88" s="23"/>
      <c r="E88" s="23"/>
      <c r="F88" s="23"/>
      <c r="G88" s="23"/>
      <c r="H88" s="23"/>
      <c r="I88" s="23"/>
      <c r="J88" s="23"/>
      <c r="K88" s="23"/>
      <c r="L88" s="23"/>
      <c r="M88" s="23"/>
      <c r="N88" s="4"/>
      <c r="O88" s="23"/>
      <c r="P88" s="23"/>
      <c r="Q88" s="23"/>
      <c r="R88" s="4"/>
      <c r="S88" s="4"/>
      <c r="T88" s="4"/>
    </row>
    <row r="89" spans="1:20" x14ac:dyDescent="0.25">
      <c r="A89" s="876"/>
      <c r="B89" s="4"/>
      <c r="C89" s="23"/>
      <c r="D89" s="23"/>
      <c r="E89" s="23"/>
      <c r="F89" s="23"/>
      <c r="G89" s="23"/>
      <c r="H89" s="23"/>
      <c r="I89" s="23"/>
      <c r="J89" s="23"/>
      <c r="K89" s="23"/>
      <c r="L89" s="23"/>
      <c r="M89" s="23"/>
      <c r="N89" s="4"/>
      <c r="O89" s="23"/>
      <c r="P89" s="23"/>
      <c r="Q89" s="23"/>
      <c r="R89" s="4"/>
      <c r="S89" s="4"/>
      <c r="T89" s="4"/>
    </row>
    <row r="90" spans="1:20" x14ac:dyDescent="0.25">
      <c r="A90" s="876"/>
      <c r="B90" s="4"/>
      <c r="C90" s="23"/>
      <c r="D90" s="23"/>
      <c r="E90" s="23"/>
      <c r="F90" s="23"/>
      <c r="G90" s="23"/>
      <c r="H90" s="23"/>
      <c r="I90" s="23"/>
      <c r="J90" s="23"/>
      <c r="K90" s="23"/>
      <c r="L90" s="23"/>
      <c r="M90" s="23"/>
      <c r="N90" s="4"/>
      <c r="O90" s="23"/>
      <c r="P90" s="23"/>
      <c r="Q90" s="23"/>
      <c r="R90" s="4"/>
      <c r="S90" s="4"/>
      <c r="T90" s="4"/>
    </row>
    <row r="91" spans="1:20" x14ac:dyDescent="0.25">
      <c r="A91" s="876"/>
      <c r="B91" s="4"/>
      <c r="C91" s="23"/>
      <c r="D91" s="23"/>
      <c r="E91" s="23"/>
      <c r="F91" s="23"/>
      <c r="G91" s="23"/>
      <c r="H91" s="23"/>
      <c r="I91" s="23"/>
      <c r="J91" s="23"/>
      <c r="K91" s="23"/>
      <c r="L91" s="23"/>
      <c r="M91" s="23"/>
      <c r="N91" s="4"/>
      <c r="O91" s="23"/>
      <c r="P91" s="23"/>
      <c r="Q91" s="23"/>
      <c r="R91" s="4"/>
      <c r="S91" s="4"/>
      <c r="T91" s="4"/>
    </row>
    <row r="92" spans="1:20" x14ac:dyDescent="0.25">
      <c r="A92" s="876"/>
      <c r="B92" s="4"/>
      <c r="C92" s="23"/>
      <c r="D92" s="23"/>
      <c r="E92" s="23"/>
      <c r="F92" s="23"/>
      <c r="G92" s="23"/>
      <c r="H92" s="23"/>
      <c r="I92" s="23"/>
      <c r="J92" s="23"/>
      <c r="K92" s="23"/>
      <c r="L92" s="23"/>
      <c r="M92" s="23"/>
      <c r="N92" s="4"/>
      <c r="O92" s="23"/>
      <c r="P92" s="23"/>
      <c r="Q92" s="23"/>
      <c r="R92" s="4"/>
      <c r="S92" s="4"/>
      <c r="T92" s="4"/>
    </row>
    <row r="93" spans="1:20" x14ac:dyDescent="0.25">
      <c r="A93" s="876"/>
      <c r="B93" s="4"/>
      <c r="C93" s="23"/>
      <c r="D93" s="23"/>
      <c r="E93" s="23"/>
      <c r="F93" s="23"/>
      <c r="G93" s="23"/>
      <c r="H93" s="23"/>
      <c r="I93" s="23"/>
      <c r="J93" s="23"/>
      <c r="K93" s="23"/>
      <c r="L93" s="23"/>
      <c r="M93" s="23"/>
      <c r="N93" s="4"/>
      <c r="O93" s="23"/>
      <c r="P93" s="23"/>
      <c r="Q93" s="23"/>
      <c r="R93" s="4"/>
      <c r="S93" s="4"/>
      <c r="T93" s="4"/>
    </row>
    <row r="94" spans="1:20" x14ac:dyDescent="0.25">
      <c r="A94" s="876"/>
      <c r="B94" s="4"/>
      <c r="C94" s="23"/>
      <c r="D94" s="23"/>
      <c r="E94" s="23"/>
      <c r="F94" s="23"/>
      <c r="G94" s="23"/>
      <c r="H94" s="23"/>
      <c r="I94" s="23"/>
      <c r="J94" s="23"/>
      <c r="K94" s="23"/>
      <c r="L94" s="23"/>
      <c r="M94" s="23"/>
      <c r="N94" s="4"/>
      <c r="O94" s="23"/>
      <c r="P94" s="23"/>
      <c r="Q94" s="23"/>
      <c r="R94" s="4"/>
      <c r="S94" s="4"/>
      <c r="T94" s="4"/>
    </row>
    <row r="95" spans="1:20" x14ac:dyDescent="0.25">
      <c r="A95" s="876"/>
      <c r="B95" s="4"/>
      <c r="C95" s="23"/>
      <c r="D95" s="23"/>
      <c r="E95" s="23"/>
      <c r="F95" s="23"/>
      <c r="G95" s="23"/>
      <c r="H95" s="23"/>
      <c r="I95" s="23"/>
      <c r="J95" s="23"/>
      <c r="K95" s="23"/>
      <c r="L95" s="23"/>
      <c r="M95" s="23"/>
      <c r="N95" s="4"/>
      <c r="O95" s="23"/>
      <c r="P95" s="23"/>
      <c r="Q95" s="23"/>
      <c r="R95" s="4"/>
      <c r="S95" s="4"/>
      <c r="T95" s="4"/>
    </row>
    <row r="96" spans="1:20" x14ac:dyDescent="0.25">
      <c r="A96" s="876"/>
      <c r="B96" s="4"/>
      <c r="C96" s="23"/>
      <c r="D96" s="23"/>
      <c r="E96" s="23"/>
      <c r="F96" s="23"/>
      <c r="G96" s="23"/>
      <c r="H96" s="23"/>
      <c r="I96" s="23"/>
      <c r="J96" s="23"/>
      <c r="K96" s="23"/>
      <c r="L96" s="23"/>
      <c r="M96" s="23"/>
      <c r="N96" s="4"/>
      <c r="O96" s="23"/>
      <c r="P96" s="23"/>
      <c r="Q96" s="23"/>
      <c r="R96" s="4"/>
      <c r="S96" s="4"/>
      <c r="T96" s="4"/>
    </row>
    <row r="97" spans="1:20" x14ac:dyDescent="0.25">
      <c r="A97" s="876"/>
      <c r="B97" s="4"/>
      <c r="C97" s="23"/>
      <c r="D97" s="23"/>
      <c r="E97" s="23"/>
      <c r="F97" s="23"/>
      <c r="G97" s="23"/>
      <c r="H97" s="23"/>
      <c r="I97" s="23"/>
      <c r="J97" s="23"/>
      <c r="K97" s="23"/>
      <c r="L97" s="23"/>
      <c r="M97" s="23"/>
      <c r="N97" s="4"/>
      <c r="O97" s="23"/>
      <c r="P97" s="23"/>
      <c r="Q97" s="23"/>
      <c r="R97" s="4"/>
      <c r="S97" s="4"/>
      <c r="T97" s="4"/>
    </row>
    <row r="98" spans="1:20" x14ac:dyDescent="0.25">
      <c r="A98" s="876"/>
      <c r="B98" s="4"/>
      <c r="C98" s="23"/>
      <c r="D98" s="23"/>
      <c r="E98" s="23"/>
      <c r="F98" s="23"/>
      <c r="G98" s="23"/>
      <c r="H98" s="23"/>
      <c r="I98" s="23"/>
      <c r="J98" s="23"/>
      <c r="K98" s="23"/>
      <c r="L98" s="23"/>
      <c r="M98" s="23"/>
      <c r="N98" s="4"/>
      <c r="O98" s="23"/>
      <c r="P98" s="23"/>
      <c r="Q98" s="23"/>
      <c r="R98" s="4"/>
      <c r="S98" s="4"/>
      <c r="T98" s="4"/>
    </row>
    <row r="99" spans="1:20" x14ac:dyDescent="0.25">
      <c r="A99" s="876"/>
      <c r="B99" s="4"/>
      <c r="C99" s="23"/>
      <c r="D99" s="23"/>
      <c r="E99" s="23"/>
      <c r="F99" s="23"/>
      <c r="G99" s="23"/>
      <c r="H99" s="23"/>
      <c r="I99" s="23"/>
      <c r="J99" s="23"/>
      <c r="K99" s="23"/>
      <c r="L99" s="23"/>
      <c r="M99" s="23"/>
      <c r="N99" s="4"/>
      <c r="O99" s="23"/>
      <c r="P99" s="23"/>
      <c r="Q99" s="23"/>
      <c r="R99" s="4"/>
      <c r="S99" s="4"/>
      <c r="T99" s="4"/>
    </row>
    <row r="100" spans="1:20" x14ac:dyDescent="0.25">
      <c r="A100" s="876"/>
      <c r="B100" s="4"/>
      <c r="C100" s="23"/>
      <c r="D100" s="23"/>
      <c r="E100" s="23"/>
      <c r="F100" s="23"/>
      <c r="G100" s="23"/>
      <c r="H100" s="23"/>
      <c r="I100" s="23"/>
      <c r="J100" s="23"/>
      <c r="K100" s="23"/>
      <c r="L100" s="23"/>
      <c r="M100" s="23"/>
      <c r="N100" s="4"/>
      <c r="O100" s="23"/>
      <c r="P100" s="23"/>
      <c r="Q100" s="23"/>
      <c r="R100" s="4"/>
      <c r="S100" s="4"/>
      <c r="T100" s="4"/>
    </row>
    <row r="101" spans="1:20" x14ac:dyDescent="0.25">
      <c r="A101" s="876"/>
      <c r="B101" s="4"/>
      <c r="C101" s="23"/>
      <c r="D101" s="23"/>
      <c r="E101" s="23"/>
      <c r="F101" s="23"/>
      <c r="G101" s="23"/>
      <c r="H101" s="23"/>
      <c r="I101" s="23"/>
      <c r="J101" s="23"/>
      <c r="K101" s="23"/>
      <c r="L101" s="23"/>
      <c r="M101" s="23"/>
      <c r="N101" s="4"/>
      <c r="O101" s="23"/>
      <c r="P101" s="23"/>
      <c r="Q101" s="23"/>
      <c r="R101" s="4"/>
      <c r="S101" s="4"/>
      <c r="T101" s="4"/>
    </row>
    <row r="102" spans="1:20" x14ac:dyDescent="0.25">
      <c r="A102" s="876"/>
      <c r="B102" s="4"/>
      <c r="C102" s="23"/>
      <c r="D102" s="23"/>
      <c r="E102" s="23"/>
      <c r="F102" s="23"/>
      <c r="G102" s="23"/>
      <c r="H102" s="23"/>
      <c r="I102" s="23"/>
      <c r="J102" s="23"/>
      <c r="K102" s="23"/>
      <c r="L102" s="23"/>
      <c r="M102" s="23"/>
      <c r="N102" s="4"/>
      <c r="O102" s="23"/>
      <c r="P102" s="23"/>
      <c r="Q102" s="23"/>
      <c r="R102" s="4"/>
      <c r="S102" s="4"/>
      <c r="T102" s="4"/>
    </row>
    <row r="103" spans="1:20" x14ac:dyDescent="0.25">
      <c r="A103" s="876"/>
      <c r="B103" s="4"/>
      <c r="C103" s="23"/>
      <c r="D103" s="23"/>
      <c r="E103" s="23"/>
      <c r="F103" s="23"/>
      <c r="G103" s="23"/>
      <c r="H103" s="23"/>
      <c r="I103" s="23"/>
      <c r="J103" s="23"/>
      <c r="K103" s="23"/>
      <c r="L103" s="23"/>
      <c r="M103" s="23"/>
      <c r="N103" s="4"/>
      <c r="O103" s="23"/>
      <c r="P103" s="23"/>
      <c r="Q103" s="23"/>
      <c r="R103" s="4"/>
      <c r="S103" s="4"/>
      <c r="T103" s="4"/>
    </row>
    <row r="104" spans="1:20" x14ac:dyDescent="0.25">
      <c r="A104" s="876"/>
      <c r="B104" s="4"/>
      <c r="C104" s="23"/>
      <c r="D104" s="23"/>
      <c r="E104" s="23"/>
      <c r="F104" s="23"/>
      <c r="G104" s="23"/>
      <c r="H104" s="23"/>
      <c r="I104" s="23"/>
      <c r="J104" s="23"/>
      <c r="K104" s="23"/>
      <c r="L104" s="23"/>
      <c r="M104" s="23"/>
      <c r="N104" s="4"/>
      <c r="O104" s="23"/>
      <c r="P104" s="23"/>
      <c r="Q104" s="23"/>
      <c r="R104" s="4"/>
      <c r="S104" s="4"/>
      <c r="T104" s="4"/>
    </row>
    <row r="105" spans="1:20" x14ac:dyDescent="0.25">
      <c r="A105" s="876"/>
      <c r="B105" s="4"/>
      <c r="C105" s="23"/>
      <c r="D105" s="23"/>
      <c r="E105" s="23"/>
      <c r="F105" s="23"/>
      <c r="G105" s="23"/>
      <c r="H105" s="23"/>
      <c r="I105" s="23"/>
      <c r="J105" s="23"/>
      <c r="K105" s="23"/>
      <c r="L105" s="23"/>
      <c r="M105" s="23"/>
      <c r="N105" s="4"/>
      <c r="O105" s="23"/>
      <c r="P105" s="23"/>
      <c r="Q105" s="23"/>
      <c r="R105" s="4"/>
      <c r="S105" s="4"/>
      <c r="T105" s="4"/>
    </row>
    <row r="106" spans="1:20" x14ac:dyDescent="0.25">
      <c r="A106" s="876"/>
      <c r="B106" s="4"/>
      <c r="C106" s="23"/>
      <c r="D106" s="23"/>
      <c r="E106" s="23"/>
      <c r="F106" s="23"/>
      <c r="G106" s="23"/>
      <c r="H106" s="23"/>
      <c r="I106" s="23"/>
      <c r="J106" s="23"/>
      <c r="K106" s="23"/>
      <c r="L106" s="23"/>
      <c r="M106" s="23"/>
      <c r="N106" s="4"/>
      <c r="O106" s="23"/>
      <c r="P106" s="23"/>
      <c r="Q106" s="23"/>
      <c r="R106" s="4"/>
      <c r="S106" s="4"/>
      <c r="T106" s="4"/>
    </row>
    <row r="107" spans="1:20" x14ac:dyDescent="0.25">
      <c r="A107" s="876"/>
      <c r="B107" s="4"/>
      <c r="C107" s="23"/>
      <c r="D107" s="23"/>
      <c r="E107" s="23"/>
      <c r="F107" s="23"/>
      <c r="G107" s="23"/>
      <c r="H107" s="23"/>
      <c r="I107" s="23"/>
      <c r="J107" s="23"/>
      <c r="K107" s="23"/>
      <c r="L107" s="23"/>
      <c r="M107" s="23"/>
      <c r="N107" s="4"/>
      <c r="O107" s="23"/>
      <c r="P107" s="23"/>
      <c r="Q107" s="23"/>
      <c r="R107" s="4"/>
      <c r="S107" s="4"/>
      <c r="T107" s="4"/>
    </row>
    <row r="108" spans="1:20" x14ac:dyDescent="0.25">
      <c r="A108" s="876"/>
      <c r="B108" s="4"/>
      <c r="C108" s="23"/>
      <c r="D108" s="23"/>
      <c r="E108" s="23"/>
      <c r="F108" s="23"/>
      <c r="G108" s="23"/>
      <c r="H108" s="23"/>
      <c r="I108" s="23"/>
      <c r="J108" s="23"/>
      <c r="K108" s="23"/>
      <c r="L108" s="23"/>
      <c r="M108" s="23"/>
      <c r="N108" s="4"/>
      <c r="O108" s="23"/>
      <c r="P108" s="23"/>
      <c r="Q108" s="23"/>
      <c r="R108" s="4"/>
      <c r="S108" s="4"/>
      <c r="T108" s="4"/>
    </row>
    <row r="109" spans="1:20" x14ac:dyDescent="0.25">
      <c r="A109" s="876"/>
      <c r="B109" s="4"/>
      <c r="C109" s="23"/>
      <c r="D109" s="23"/>
      <c r="E109" s="23"/>
      <c r="F109" s="23"/>
      <c r="G109" s="23"/>
      <c r="H109" s="23"/>
      <c r="I109" s="23"/>
      <c r="J109" s="23"/>
      <c r="K109" s="23"/>
      <c r="L109" s="23"/>
      <c r="M109" s="23"/>
      <c r="N109" s="4"/>
      <c r="O109" s="23"/>
      <c r="P109" s="23"/>
      <c r="Q109" s="23"/>
      <c r="R109" s="4"/>
      <c r="S109" s="4"/>
      <c r="T109" s="4"/>
    </row>
    <row r="110" spans="1:20" x14ac:dyDescent="0.25">
      <c r="A110" s="876"/>
      <c r="B110" s="4"/>
      <c r="C110" s="23"/>
      <c r="D110" s="23"/>
      <c r="E110" s="23"/>
      <c r="F110" s="23"/>
      <c r="G110" s="23"/>
      <c r="H110" s="23"/>
      <c r="I110" s="23"/>
      <c r="J110" s="23"/>
      <c r="K110" s="23"/>
      <c r="L110" s="23"/>
      <c r="M110" s="23"/>
      <c r="N110" s="4"/>
      <c r="O110" s="23"/>
      <c r="P110" s="23"/>
      <c r="Q110" s="23"/>
      <c r="R110" s="4"/>
      <c r="S110" s="4"/>
      <c r="T110" s="4"/>
    </row>
    <row r="111" spans="1:20" x14ac:dyDescent="0.25">
      <c r="A111" s="876"/>
      <c r="B111" s="4"/>
      <c r="C111" s="23"/>
      <c r="D111" s="23"/>
      <c r="E111" s="23"/>
      <c r="F111" s="23"/>
      <c r="G111" s="23"/>
      <c r="H111" s="23"/>
      <c r="I111" s="23"/>
      <c r="J111" s="23"/>
      <c r="K111" s="23"/>
      <c r="L111" s="23"/>
      <c r="M111" s="23"/>
      <c r="N111" s="4"/>
      <c r="O111" s="23"/>
      <c r="P111" s="23"/>
      <c r="Q111" s="23"/>
      <c r="R111" s="4"/>
      <c r="S111" s="4"/>
      <c r="T111" s="4"/>
    </row>
    <row r="112" spans="1:20" x14ac:dyDescent="0.25">
      <c r="A112" s="876"/>
      <c r="B112" s="4"/>
      <c r="C112" s="23"/>
      <c r="D112" s="23"/>
      <c r="E112" s="23"/>
      <c r="F112" s="23"/>
      <c r="G112" s="23"/>
      <c r="H112" s="23"/>
      <c r="I112" s="23"/>
      <c r="J112" s="23"/>
      <c r="K112" s="23"/>
      <c r="L112" s="23"/>
      <c r="M112" s="23"/>
      <c r="N112" s="4"/>
      <c r="O112" s="23"/>
      <c r="P112" s="23"/>
      <c r="Q112" s="23"/>
      <c r="R112" s="4"/>
      <c r="S112" s="4"/>
      <c r="T112" s="4"/>
    </row>
    <row r="113" spans="1:20" x14ac:dyDescent="0.25">
      <c r="A113" s="876"/>
      <c r="B113" s="4"/>
      <c r="C113" s="23"/>
      <c r="D113" s="23"/>
      <c r="E113" s="23"/>
      <c r="F113" s="23"/>
      <c r="G113" s="23"/>
      <c r="H113" s="23"/>
      <c r="I113" s="23"/>
      <c r="J113" s="23"/>
      <c r="K113" s="23"/>
      <c r="L113" s="23"/>
      <c r="M113" s="23"/>
      <c r="N113" s="4"/>
      <c r="O113" s="23"/>
      <c r="P113" s="23"/>
      <c r="Q113" s="23"/>
      <c r="R113" s="4"/>
      <c r="S113" s="4"/>
      <c r="T113" s="4"/>
    </row>
    <row r="114" spans="1:20" x14ac:dyDescent="0.25">
      <c r="A114" s="876"/>
      <c r="B114" s="4"/>
      <c r="C114" s="23"/>
      <c r="D114" s="23"/>
      <c r="E114" s="23"/>
      <c r="F114" s="23"/>
      <c r="G114" s="23"/>
      <c r="H114" s="23"/>
      <c r="I114" s="23"/>
      <c r="J114" s="23"/>
      <c r="K114" s="23"/>
      <c r="L114" s="23"/>
      <c r="M114" s="23"/>
      <c r="N114" s="4"/>
      <c r="O114" s="23"/>
      <c r="P114" s="23"/>
      <c r="Q114" s="23"/>
      <c r="R114" s="4"/>
      <c r="S114" s="4"/>
      <c r="T114" s="4"/>
    </row>
    <row r="115" spans="1:20" x14ac:dyDescent="0.25">
      <c r="A115" s="876"/>
      <c r="B115" s="4"/>
      <c r="C115" s="23"/>
      <c r="D115" s="23"/>
      <c r="E115" s="23"/>
      <c r="F115" s="23"/>
      <c r="G115" s="23"/>
      <c r="H115" s="23"/>
      <c r="I115" s="23"/>
      <c r="J115" s="23"/>
      <c r="K115" s="23"/>
      <c r="L115" s="23"/>
      <c r="M115" s="23"/>
      <c r="N115" s="4"/>
      <c r="O115" s="23"/>
      <c r="P115" s="23"/>
      <c r="Q115" s="23"/>
      <c r="R115" s="4"/>
      <c r="S115" s="4"/>
      <c r="T115" s="4"/>
    </row>
    <row r="116" spans="1:20" x14ac:dyDescent="0.25">
      <c r="A116" s="876"/>
      <c r="B116" s="4"/>
      <c r="C116" s="23"/>
      <c r="D116" s="23"/>
      <c r="E116" s="23"/>
      <c r="F116" s="23"/>
      <c r="G116" s="23"/>
      <c r="H116" s="23"/>
      <c r="I116" s="23"/>
      <c r="J116" s="23"/>
      <c r="K116" s="23"/>
      <c r="L116" s="23"/>
      <c r="M116" s="23"/>
      <c r="N116" s="4"/>
      <c r="O116" s="23"/>
      <c r="P116" s="23"/>
      <c r="Q116" s="23"/>
      <c r="R116" s="4"/>
      <c r="S116" s="4"/>
      <c r="T116" s="4"/>
    </row>
    <row r="117" spans="1:20" x14ac:dyDescent="0.25">
      <c r="A117" s="876"/>
      <c r="B117" s="4"/>
      <c r="C117" s="23"/>
      <c r="D117" s="23"/>
      <c r="E117" s="23"/>
      <c r="F117" s="23"/>
      <c r="G117" s="23"/>
      <c r="H117" s="23"/>
      <c r="I117" s="23"/>
      <c r="J117" s="23"/>
      <c r="K117" s="23"/>
      <c r="L117" s="23"/>
      <c r="M117" s="23"/>
      <c r="N117" s="4"/>
      <c r="O117" s="23"/>
      <c r="P117" s="23"/>
      <c r="Q117" s="23"/>
      <c r="R117" s="4"/>
      <c r="S117" s="4"/>
      <c r="T117" s="4"/>
    </row>
    <row r="118" spans="1:20" x14ac:dyDescent="0.25">
      <c r="A118" s="876"/>
      <c r="B118" s="4"/>
      <c r="C118" s="23"/>
      <c r="D118" s="23"/>
      <c r="E118" s="23"/>
      <c r="F118" s="23"/>
      <c r="G118" s="23"/>
      <c r="H118" s="23"/>
      <c r="I118" s="23"/>
      <c r="J118" s="23"/>
      <c r="K118" s="23"/>
      <c r="L118" s="23"/>
      <c r="M118" s="23"/>
      <c r="N118" s="4"/>
      <c r="O118" s="23"/>
      <c r="P118" s="23"/>
      <c r="Q118" s="23"/>
      <c r="R118" s="4"/>
      <c r="S118" s="4"/>
      <c r="T118" s="4"/>
    </row>
    <row r="119" spans="1:20" x14ac:dyDescent="0.25">
      <c r="A119" s="876"/>
      <c r="B119" s="4"/>
      <c r="C119" s="23"/>
      <c r="D119" s="23"/>
      <c r="E119" s="23"/>
      <c r="F119" s="23"/>
      <c r="G119" s="23"/>
      <c r="H119" s="23"/>
      <c r="I119" s="23"/>
      <c r="J119" s="23"/>
      <c r="K119" s="23"/>
      <c r="L119" s="23"/>
      <c r="M119" s="23"/>
      <c r="N119" s="4"/>
      <c r="O119" s="23"/>
      <c r="P119" s="23"/>
      <c r="Q119" s="23"/>
      <c r="R119" s="4"/>
      <c r="S119" s="4"/>
      <c r="T119" s="4"/>
    </row>
    <row r="120" spans="1:20" x14ac:dyDescent="0.25">
      <c r="A120" s="876"/>
      <c r="B120" s="4"/>
      <c r="C120" s="23"/>
      <c r="D120" s="23"/>
      <c r="E120" s="23"/>
      <c r="F120" s="23"/>
      <c r="G120" s="23"/>
      <c r="H120" s="23"/>
      <c r="I120" s="23"/>
      <c r="J120" s="23"/>
      <c r="K120" s="23"/>
      <c r="L120" s="23"/>
      <c r="M120" s="23"/>
      <c r="N120" s="4"/>
      <c r="O120" s="23"/>
      <c r="P120" s="23"/>
      <c r="Q120" s="23"/>
      <c r="R120" s="4"/>
      <c r="S120" s="4"/>
      <c r="T120" s="4"/>
    </row>
    <row r="121" spans="1:20" x14ac:dyDescent="0.25">
      <c r="A121" s="876"/>
      <c r="B121" s="4"/>
      <c r="C121" s="23"/>
      <c r="D121" s="23"/>
      <c r="E121" s="23"/>
      <c r="F121" s="23"/>
      <c r="G121" s="23"/>
      <c r="H121" s="23"/>
      <c r="I121" s="23"/>
      <c r="J121" s="23"/>
      <c r="K121" s="23"/>
      <c r="L121" s="23"/>
      <c r="M121" s="23"/>
      <c r="N121" s="4"/>
      <c r="O121" s="23"/>
      <c r="P121" s="23"/>
      <c r="Q121" s="23"/>
      <c r="R121" s="4"/>
      <c r="S121" s="4"/>
      <c r="T121" s="4"/>
    </row>
    <row r="122" spans="1:20" x14ac:dyDescent="0.25">
      <c r="A122" s="876"/>
      <c r="B122" s="4"/>
      <c r="C122" s="23"/>
      <c r="D122" s="23"/>
      <c r="E122" s="23"/>
      <c r="F122" s="23"/>
      <c r="G122" s="23"/>
      <c r="H122" s="23"/>
      <c r="I122" s="23"/>
      <c r="J122" s="23"/>
      <c r="K122" s="23"/>
      <c r="L122" s="23"/>
      <c r="M122" s="23"/>
      <c r="N122" s="4"/>
      <c r="O122" s="23"/>
      <c r="P122" s="23"/>
      <c r="Q122" s="23"/>
      <c r="R122" s="4"/>
      <c r="S122" s="4"/>
      <c r="T122" s="4"/>
    </row>
    <row r="123" spans="1:20" x14ac:dyDescent="0.25">
      <c r="A123" s="876"/>
      <c r="B123" s="4"/>
      <c r="C123" s="23"/>
      <c r="D123" s="23"/>
      <c r="E123" s="23"/>
      <c r="F123" s="23"/>
      <c r="G123" s="23"/>
      <c r="H123" s="23"/>
      <c r="I123" s="23"/>
      <c r="J123" s="23"/>
      <c r="K123" s="23"/>
      <c r="L123" s="23"/>
      <c r="M123" s="23"/>
      <c r="N123" s="4"/>
      <c r="O123" s="23"/>
      <c r="P123" s="23"/>
      <c r="Q123" s="23"/>
      <c r="R123" s="4"/>
      <c r="S123" s="4"/>
      <c r="T123" s="4"/>
    </row>
    <row r="124" spans="1:20" x14ac:dyDescent="0.25">
      <c r="A124" s="876"/>
      <c r="B124" s="4"/>
      <c r="C124" s="23"/>
      <c r="D124" s="23"/>
      <c r="E124" s="23"/>
      <c r="F124" s="23"/>
      <c r="G124" s="23"/>
      <c r="H124" s="23"/>
      <c r="I124" s="23"/>
      <c r="J124" s="23"/>
      <c r="K124" s="23"/>
      <c r="L124" s="23"/>
      <c r="M124" s="23"/>
      <c r="N124" s="4"/>
      <c r="O124" s="23"/>
      <c r="P124" s="23"/>
      <c r="Q124" s="23"/>
      <c r="R124" s="4"/>
      <c r="S124" s="4"/>
      <c r="T124" s="4"/>
    </row>
    <row r="125" spans="1:20" x14ac:dyDescent="0.25">
      <c r="A125" s="876"/>
      <c r="B125" s="4"/>
      <c r="C125" s="23"/>
      <c r="D125" s="23"/>
      <c r="E125" s="23"/>
      <c r="F125" s="23"/>
      <c r="G125" s="23"/>
      <c r="H125" s="23"/>
      <c r="I125" s="23"/>
      <c r="J125" s="23"/>
      <c r="K125" s="23"/>
      <c r="L125" s="23"/>
      <c r="M125" s="23"/>
      <c r="N125" s="4"/>
      <c r="O125" s="23"/>
      <c r="P125" s="23"/>
      <c r="Q125" s="23"/>
      <c r="R125" s="4"/>
      <c r="S125" s="4"/>
      <c r="T125" s="4"/>
    </row>
    <row r="126" spans="1:20" x14ac:dyDescent="0.25">
      <c r="A126" s="876"/>
      <c r="B126" s="4"/>
      <c r="C126" s="23"/>
      <c r="D126" s="23"/>
      <c r="E126" s="23"/>
      <c r="F126" s="23"/>
      <c r="G126" s="23"/>
      <c r="H126" s="23"/>
      <c r="I126" s="23"/>
      <c r="J126" s="23"/>
      <c r="K126" s="23"/>
      <c r="L126" s="23"/>
      <c r="M126" s="23"/>
      <c r="N126" s="4"/>
      <c r="O126" s="23"/>
      <c r="P126" s="23"/>
      <c r="Q126" s="23"/>
      <c r="R126" s="4"/>
      <c r="S126" s="4"/>
      <c r="T126" s="4"/>
    </row>
    <row r="127" spans="1:20" x14ac:dyDescent="0.25">
      <c r="A127" s="876"/>
      <c r="B127" s="4"/>
      <c r="C127" s="23"/>
      <c r="D127" s="23"/>
      <c r="E127" s="23"/>
      <c r="F127" s="23"/>
      <c r="G127" s="23"/>
      <c r="H127" s="23"/>
      <c r="I127" s="23"/>
      <c r="J127" s="23"/>
      <c r="K127" s="23"/>
      <c r="L127" s="23"/>
      <c r="M127" s="23"/>
      <c r="N127" s="4"/>
      <c r="O127" s="23"/>
      <c r="P127" s="23"/>
      <c r="Q127" s="23"/>
      <c r="R127" s="4"/>
      <c r="S127" s="4"/>
      <c r="T127" s="4"/>
    </row>
    <row r="128" spans="1:20" x14ac:dyDescent="0.25">
      <c r="A128" s="876"/>
      <c r="B128" s="4"/>
      <c r="C128" s="23"/>
      <c r="D128" s="23"/>
      <c r="E128" s="23"/>
      <c r="F128" s="23"/>
      <c r="G128" s="23"/>
      <c r="H128" s="23"/>
      <c r="I128" s="23"/>
      <c r="J128" s="23"/>
      <c r="K128" s="23"/>
      <c r="L128" s="23"/>
      <c r="M128" s="23"/>
      <c r="N128" s="4"/>
      <c r="O128" s="23"/>
      <c r="P128" s="23"/>
      <c r="Q128" s="23"/>
      <c r="R128" s="4"/>
      <c r="S128" s="4"/>
      <c r="T128" s="4"/>
    </row>
    <row r="129" spans="1:20" x14ac:dyDescent="0.25">
      <c r="A129" s="876"/>
      <c r="B129" s="4"/>
      <c r="C129" s="23"/>
      <c r="D129" s="23"/>
      <c r="E129" s="23"/>
      <c r="F129" s="23"/>
      <c r="G129" s="23"/>
      <c r="H129" s="23"/>
      <c r="I129" s="23"/>
      <c r="J129" s="23"/>
      <c r="K129" s="23"/>
      <c r="L129" s="23"/>
      <c r="M129" s="23"/>
      <c r="N129" s="4"/>
      <c r="O129" s="23"/>
      <c r="P129" s="23"/>
      <c r="Q129" s="23"/>
      <c r="R129" s="4"/>
      <c r="S129" s="4"/>
      <c r="T129" s="4"/>
    </row>
    <row r="130" spans="1:20" x14ac:dyDescent="0.25">
      <c r="A130" s="876"/>
      <c r="B130" s="4"/>
      <c r="C130" s="23"/>
      <c r="D130" s="23"/>
      <c r="E130" s="23"/>
      <c r="F130" s="23"/>
      <c r="G130" s="23"/>
      <c r="H130" s="23"/>
      <c r="I130" s="23"/>
      <c r="J130" s="23"/>
      <c r="K130" s="23"/>
      <c r="L130" s="23"/>
      <c r="M130" s="23"/>
      <c r="N130" s="4"/>
      <c r="O130" s="23"/>
      <c r="P130" s="23"/>
      <c r="Q130" s="23"/>
      <c r="R130" s="4"/>
      <c r="S130" s="4"/>
      <c r="T130" s="4"/>
    </row>
    <row r="131" spans="1:20" x14ac:dyDescent="0.25">
      <c r="A131" s="876"/>
      <c r="B131" s="4"/>
      <c r="C131" s="23"/>
      <c r="D131" s="23"/>
      <c r="E131" s="23"/>
      <c r="F131" s="23"/>
      <c r="G131" s="23"/>
      <c r="H131" s="23"/>
      <c r="I131" s="23"/>
      <c r="J131" s="23"/>
      <c r="K131" s="23"/>
      <c r="L131" s="23"/>
      <c r="M131" s="23"/>
      <c r="N131" s="4"/>
      <c r="O131" s="23"/>
      <c r="P131" s="23"/>
      <c r="Q131" s="23"/>
      <c r="R131" s="4"/>
      <c r="S131" s="4"/>
      <c r="T131" s="4"/>
    </row>
    <row r="132" spans="1:20" x14ac:dyDescent="0.25">
      <c r="A132" s="876"/>
      <c r="B132" s="4"/>
      <c r="C132" s="23"/>
      <c r="D132" s="23"/>
      <c r="E132" s="23"/>
      <c r="F132" s="23"/>
      <c r="G132" s="23"/>
      <c r="H132" s="23"/>
      <c r="I132" s="23"/>
      <c r="J132" s="23"/>
      <c r="K132" s="23"/>
      <c r="L132" s="23"/>
      <c r="M132" s="23"/>
      <c r="N132" s="4"/>
      <c r="O132" s="23"/>
      <c r="P132" s="23"/>
      <c r="Q132" s="23"/>
      <c r="R132" s="4"/>
      <c r="S132" s="4"/>
      <c r="T132" s="4"/>
    </row>
    <row r="133" spans="1:20" x14ac:dyDescent="0.25">
      <c r="A133" s="876"/>
      <c r="B133" s="4"/>
      <c r="C133" s="23"/>
      <c r="D133" s="23"/>
      <c r="E133" s="23"/>
      <c r="F133" s="23"/>
      <c r="G133" s="23"/>
      <c r="H133" s="23"/>
      <c r="I133" s="23"/>
      <c r="J133" s="23"/>
      <c r="K133" s="23"/>
      <c r="L133" s="23"/>
      <c r="M133" s="23"/>
      <c r="N133" s="4"/>
      <c r="O133" s="23"/>
      <c r="P133" s="23"/>
      <c r="Q133" s="23"/>
      <c r="R133" s="4"/>
      <c r="S133" s="4"/>
      <c r="T133" s="4"/>
    </row>
    <row r="134" spans="1:20" x14ac:dyDescent="0.25">
      <c r="A134" s="876"/>
      <c r="B134" s="4"/>
      <c r="C134" s="23"/>
      <c r="D134" s="23"/>
      <c r="E134" s="23"/>
      <c r="F134" s="23"/>
      <c r="G134" s="23"/>
      <c r="H134" s="23"/>
      <c r="I134" s="23"/>
      <c r="J134" s="23"/>
      <c r="K134" s="23"/>
      <c r="L134" s="23"/>
      <c r="M134" s="23"/>
      <c r="N134" s="4"/>
      <c r="O134" s="23"/>
      <c r="P134" s="23"/>
      <c r="Q134" s="23"/>
      <c r="R134" s="4"/>
      <c r="S134" s="4"/>
      <c r="T134" s="4"/>
    </row>
    <row r="135" spans="1:20" x14ac:dyDescent="0.25">
      <c r="C135" s="114"/>
    </row>
    <row r="136" spans="1:20" x14ac:dyDescent="0.25">
      <c r="C136" s="114"/>
    </row>
    <row r="137" spans="1:20" x14ac:dyDescent="0.25">
      <c r="C137" s="114"/>
    </row>
    <row r="138" spans="1:20" x14ac:dyDescent="0.25">
      <c r="C138" s="114"/>
    </row>
    <row r="139" spans="1:20" x14ac:dyDescent="0.25">
      <c r="C139" s="114"/>
    </row>
    <row r="140" spans="1:20" x14ac:dyDescent="0.25">
      <c r="C140" s="114"/>
    </row>
    <row r="141" spans="1:20" x14ac:dyDescent="0.25">
      <c r="C141" s="114"/>
    </row>
    <row r="142" spans="1:20" x14ac:dyDescent="0.25">
      <c r="C142" s="114"/>
    </row>
    <row r="143" spans="1:20" x14ac:dyDescent="0.25">
      <c r="C143" s="114"/>
    </row>
    <row r="144" spans="1:20" x14ac:dyDescent="0.25">
      <c r="C144" s="114"/>
    </row>
    <row r="145" spans="3:3" x14ac:dyDescent="0.25">
      <c r="C145" s="114"/>
    </row>
    <row r="146" spans="3:3" x14ac:dyDescent="0.25">
      <c r="C146" s="114"/>
    </row>
    <row r="147" spans="3:3" x14ac:dyDescent="0.25">
      <c r="C147" s="114"/>
    </row>
    <row r="148" spans="3:3" x14ac:dyDescent="0.25">
      <c r="C148" s="114"/>
    </row>
    <row r="149" spans="3:3" x14ac:dyDescent="0.25">
      <c r="C149" s="114"/>
    </row>
    <row r="150" spans="3:3" x14ac:dyDescent="0.25">
      <c r="C150" s="114"/>
    </row>
    <row r="151" spans="3:3" x14ac:dyDescent="0.25">
      <c r="C151" s="114"/>
    </row>
    <row r="152" spans="3:3" x14ac:dyDescent="0.25">
      <c r="C152" s="114"/>
    </row>
    <row r="153" spans="3:3" x14ac:dyDescent="0.25">
      <c r="C153" s="114"/>
    </row>
    <row r="154" spans="3:3" x14ac:dyDescent="0.25">
      <c r="C154" s="114"/>
    </row>
    <row r="155" spans="3:3" x14ac:dyDescent="0.25">
      <c r="C155" s="114"/>
    </row>
    <row r="156" spans="3:3" x14ac:dyDescent="0.25">
      <c r="C156" s="114"/>
    </row>
    <row r="157" spans="3:3" x14ac:dyDescent="0.25">
      <c r="C157" s="114"/>
    </row>
    <row r="158" spans="3:3" x14ac:dyDescent="0.25">
      <c r="C158" s="114"/>
    </row>
    <row r="159" spans="3:3" x14ac:dyDescent="0.25">
      <c r="C159" s="114"/>
    </row>
    <row r="160" spans="3:3" x14ac:dyDescent="0.25">
      <c r="C160" s="114"/>
    </row>
    <row r="161" spans="3:3" x14ac:dyDescent="0.25">
      <c r="C161" s="114"/>
    </row>
    <row r="162" spans="3:3" x14ac:dyDescent="0.25">
      <c r="C162" s="114"/>
    </row>
    <row r="163" spans="3:3" x14ac:dyDescent="0.25">
      <c r="C163" s="114"/>
    </row>
    <row r="164" spans="3:3" x14ac:dyDescent="0.25">
      <c r="C164" s="114"/>
    </row>
    <row r="165" spans="3:3" x14ac:dyDescent="0.25">
      <c r="C165" s="114"/>
    </row>
    <row r="166" spans="3:3" x14ac:dyDescent="0.25">
      <c r="C166" s="114"/>
    </row>
    <row r="167" spans="3:3" x14ac:dyDescent="0.25">
      <c r="C167" s="114"/>
    </row>
    <row r="168" spans="3:3" x14ac:dyDescent="0.25">
      <c r="C168" s="114"/>
    </row>
    <row r="169" spans="3:3" x14ac:dyDescent="0.25">
      <c r="C169" s="114"/>
    </row>
    <row r="170" spans="3:3" x14ac:dyDescent="0.25">
      <c r="C170" s="114"/>
    </row>
    <row r="171" spans="3:3" x14ac:dyDescent="0.25">
      <c r="C171" s="114"/>
    </row>
    <row r="172" spans="3:3" x14ac:dyDescent="0.25">
      <c r="C172" s="114"/>
    </row>
    <row r="173" spans="3:3" x14ac:dyDescent="0.25">
      <c r="C173" s="114"/>
    </row>
    <row r="174" spans="3:3" x14ac:dyDescent="0.25">
      <c r="C174" s="114"/>
    </row>
    <row r="175" spans="3:3" x14ac:dyDescent="0.25">
      <c r="C175" s="114"/>
    </row>
    <row r="176" spans="3:3" x14ac:dyDescent="0.25">
      <c r="C176" s="114"/>
    </row>
    <row r="177" spans="3:3" x14ac:dyDescent="0.25">
      <c r="C177" s="114"/>
    </row>
    <row r="178" spans="3:3" x14ac:dyDescent="0.25">
      <c r="C178" s="114"/>
    </row>
    <row r="179" spans="3:3" x14ac:dyDescent="0.25">
      <c r="C179" s="114"/>
    </row>
    <row r="180" spans="3:3" x14ac:dyDescent="0.25">
      <c r="C180" s="114"/>
    </row>
    <row r="181" spans="3:3" x14ac:dyDescent="0.25">
      <c r="C181" s="114"/>
    </row>
    <row r="182" spans="3:3" x14ac:dyDescent="0.25">
      <c r="C182" s="114"/>
    </row>
    <row r="183" spans="3:3" x14ac:dyDescent="0.25">
      <c r="C183" s="114"/>
    </row>
    <row r="184" spans="3:3" x14ac:dyDescent="0.25">
      <c r="C184" s="114"/>
    </row>
  </sheetData>
  <phoneticPr fontId="0" type="noConversion"/>
  <hyperlinks>
    <hyperlink ref="A1" location="'Working Budget with funding det'!A1" display="Main " xr:uid="{00000000-0004-0000-2C00-000000000000}"/>
    <hyperlink ref="B1" location="'Table of Contents'!A1" display="TOC" xr:uid="{00000000-0004-0000-2C00-000001000000}"/>
  </hyperlinks>
  <pageMargins left="0.75" right="0.75" top="1" bottom="1" header="0.5" footer="0.5"/>
  <pageSetup orientation="landscape" r:id="rId1"/>
  <headerFooter alignWithMargins="0">
    <oddFooter>&amp;L&amp;D     &amp;T&amp;C&amp;F&amp;R&amp;A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92D050"/>
  </sheetPr>
  <dimension ref="A1:T133"/>
  <sheetViews>
    <sheetView zoomScaleNormal="100" workbookViewId="0">
      <pane ySplit="7" topLeftCell="A47" activePane="bottomLeft" state="frozen"/>
      <selection activeCell="P7" sqref="P7"/>
      <selection pane="bottomLeft" activeCell="A53" sqref="A53:A64"/>
    </sheetView>
  </sheetViews>
  <sheetFormatPr defaultRowHeight="13.2" x14ac:dyDescent="0.25"/>
  <cols>
    <col min="1" max="1" width="13.77734375" style="885" customWidth="1"/>
    <col min="2" max="2" width="36.6640625" customWidth="1"/>
    <col min="3" max="3" width="14.44140625" style="1" hidden="1" customWidth="1"/>
    <col min="4" max="10" width="14.44140625" style="114" hidden="1" customWidth="1"/>
    <col min="11" max="13" width="14.44140625" style="114" customWidth="1"/>
    <col min="14" max="14" width="14.44140625" customWidth="1"/>
    <col min="15" max="16" width="14.44140625" style="1" customWidth="1"/>
    <col min="17" max="19" width="14.44140625" customWidth="1"/>
    <col min="20" max="20" width="14.6640625" style="2" customWidth="1"/>
    <col min="21" max="21" width="13.44140625" bestFit="1" customWidth="1"/>
  </cols>
  <sheetData>
    <row r="1" spans="1:20" x14ac:dyDescent="0.25">
      <c r="A1" s="874" t="s">
        <v>1021</v>
      </c>
      <c r="B1" s="371" t="s">
        <v>1348</v>
      </c>
    </row>
    <row r="2" spans="1:20" ht="13.8" x14ac:dyDescent="0.25">
      <c r="A2" s="875" t="s">
        <v>264</v>
      </c>
      <c r="B2" s="45"/>
      <c r="E2" s="141"/>
      <c r="I2" s="141" t="s">
        <v>257</v>
      </c>
      <c r="J2" s="141"/>
      <c r="K2" s="141"/>
      <c r="L2" s="141"/>
      <c r="M2" s="141"/>
      <c r="N2" s="61" t="s">
        <v>314</v>
      </c>
      <c r="O2" s="232"/>
      <c r="P2" s="46" t="s">
        <v>502</v>
      </c>
    </row>
    <row r="3" spans="1:20" ht="13.8" thickBot="1" x14ac:dyDescent="0.3">
      <c r="A3" s="876"/>
      <c r="B3" s="4"/>
      <c r="C3" s="23"/>
      <c r="D3" s="23"/>
      <c r="E3" s="23"/>
      <c r="F3" s="23"/>
      <c r="G3" s="23"/>
      <c r="H3" s="23"/>
      <c r="I3" s="23"/>
      <c r="J3" s="23"/>
      <c r="K3" s="23"/>
      <c r="L3" s="23"/>
      <c r="M3" s="23"/>
      <c r="N3" s="4"/>
      <c r="O3" s="23"/>
      <c r="P3" s="4"/>
      <c r="Q3" s="4"/>
      <c r="S3" s="4"/>
    </row>
    <row r="4" spans="1:20" ht="13.8" thickTop="1" x14ac:dyDescent="0.25">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t="s">
        <v>910</v>
      </c>
    </row>
    <row r="5" spans="1:20" x14ac:dyDescent="0.25">
      <c r="A5" s="878"/>
      <c r="B5" s="209"/>
      <c r="C5" s="127"/>
      <c r="D5" s="87"/>
      <c r="E5" s="113"/>
      <c r="F5" s="87"/>
      <c r="G5" s="87"/>
      <c r="H5" s="113"/>
      <c r="I5" s="396"/>
      <c r="J5" s="396"/>
      <c r="K5" s="396"/>
      <c r="L5" s="396"/>
      <c r="M5" s="396"/>
      <c r="N5" s="113" t="s">
        <v>515</v>
      </c>
      <c r="O5" s="88" t="s">
        <v>7</v>
      </c>
      <c r="P5" s="203" t="s">
        <v>782</v>
      </c>
    </row>
    <row r="6" spans="1:20" x14ac:dyDescent="0.25">
      <c r="A6" s="878"/>
      <c r="B6" s="209"/>
      <c r="C6" s="127"/>
      <c r="D6" s="127"/>
      <c r="E6" s="127"/>
      <c r="F6" s="127"/>
      <c r="G6" s="127"/>
      <c r="H6" s="127"/>
      <c r="I6" s="337"/>
      <c r="J6" s="337"/>
      <c r="K6" s="337"/>
      <c r="L6" s="337"/>
      <c r="M6" s="337"/>
      <c r="N6" s="127"/>
      <c r="O6" s="88" t="s">
        <v>8</v>
      </c>
      <c r="P6" s="47" t="s">
        <v>543</v>
      </c>
    </row>
    <row r="7" spans="1:20"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44561</v>
      </c>
      <c r="O7" s="9" t="s">
        <v>9</v>
      </c>
      <c r="P7" s="9" t="s">
        <v>546</v>
      </c>
    </row>
    <row r="8" spans="1:20" ht="13.8" thickTop="1" x14ac:dyDescent="0.25">
      <c r="A8" s="880"/>
      <c r="B8" s="177"/>
      <c r="C8" s="129"/>
      <c r="D8" s="315"/>
      <c r="E8" s="315"/>
      <c r="F8" s="315"/>
      <c r="G8" s="315"/>
      <c r="H8" s="315"/>
      <c r="I8" s="315"/>
      <c r="J8" s="315"/>
      <c r="K8" s="164"/>
      <c r="L8" s="164"/>
      <c r="M8" s="164"/>
      <c r="N8" s="62"/>
      <c r="O8" s="10"/>
      <c r="P8" s="10"/>
    </row>
    <row r="9" spans="1:20" x14ac:dyDescent="0.25">
      <c r="A9" s="881">
        <v>5111</v>
      </c>
      <c r="B9" s="110" t="s">
        <v>688</v>
      </c>
      <c r="C9" s="130">
        <v>117196.8</v>
      </c>
      <c r="D9" s="13">
        <v>130066.4</v>
      </c>
      <c r="E9" s="13">
        <v>130758.41</v>
      </c>
      <c r="F9" s="13">
        <v>135465.42000000001</v>
      </c>
      <c r="G9" s="13">
        <v>139776.63</v>
      </c>
      <c r="H9" s="13">
        <v>144545.66</v>
      </c>
      <c r="I9" s="13">
        <f>25801.3+117025.1</f>
        <v>142826.4</v>
      </c>
      <c r="J9" s="13">
        <v>150898.46</v>
      </c>
      <c r="K9" s="14">
        <v>158651</v>
      </c>
      <c r="L9" s="13">
        <v>158650.54999999999</v>
      </c>
      <c r="M9" s="14">
        <v>164309</v>
      </c>
      <c r="N9" s="13">
        <v>82517.83</v>
      </c>
      <c r="O9" s="14">
        <f>ROUND((SUM(N53:N56)),0)</f>
        <v>166245</v>
      </c>
      <c r="P9" s="14"/>
      <c r="Q9">
        <f>+O9-M9</f>
        <v>1936</v>
      </c>
    </row>
    <row r="10" spans="1:20" x14ac:dyDescent="0.25">
      <c r="A10" s="881">
        <v>5113</v>
      </c>
      <c r="B10" s="63" t="s">
        <v>689</v>
      </c>
      <c r="C10" s="130">
        <v>90290.59</v>
      </c>
      <c r="D10" s="13">
        <v>72415.990000000005</v>
      </c>
      <c r="E10" s="13">
        <v>96098.85</v>
      </c>
      <c r="F10" s="13">
        <v>96540.9</v>
      </c>
      <c r="G10" s="13">
        <v>103043.3</v>
      </c>
      <c r="H10" s="13">
        <v>103709.41</v>
      </c>
      <c r="I10" s="13">
        <f>-25801.3+132712.7</f>
        <v>106911.40000000001</v>
      </c>
      <c r="J10" s="13">
        <v>119619.97</v>
      </c>
      <c r="K10" s="122">
        <v>124243</v>
      </c>
      <c r="L10" s="144">
        <v>120294.17</v>
      </c>
      <c r="M10" s="122">
        <v>127719</v>
      </c>
      <c r="N10" s="13">
        <v>64442.62</v>
      </c>
      <c r="O10" s="122">
        <f>ROUND((SUM(N57:N65)),0)</f>
        <v>130124</v>
      </c>
      <c r="P10" s="14"/>
      <c r="Q10">
        <f>+O10-M10</f>
        <v>2405</v>
      </c>
    </row>
    <row r="11" spans="1:20" x14ac:dyDescent="0.25">
      <c r="A11" s="881">
        <v>5142</v>
      </c>
      <c r="B11" s="63" t="s">
        <v>164</v>
      </c>
      <c r="C11" s="130">
        <v>453.6</v>
      </c>
      <c r="D11" s="13">
        <v>480.12</v>
      </c>
      <c r="E11" s="13">
        <v>475.91</v>
      </c>
      <c r="F11" s="13">
        <v>465.95</v>
      </c>
      <c r="G11" s="13">
        <v>464.19</v>
      </c>
      <c r="H11" s="13">
        <f>25.2+430.68</f>
        <v>455.88</v>
      </c>
      <c r="I11" s="13">
        <v>452.2</v>
      </c>
      <c r="J11" s="13">
        <v>548.23</v>
      </c>
      <c r="K11" s="14">
        <v>750</v>
      </c>
      <c r="L11" s="13">
        <v>50</v>
      </c>
      <c r="M11" s="14">
        <v>750</v>
      </c>
      <c r="N11" s="13">
        <v>205.5</v>
      </c>
      <c r="O11" s="14">
        <v>750</v>
      </c>
      <c r="P11" s="14"/>
      <c r="Q11">
        <f>+O11-M11</f>
        <v>0</v>
      </c>
    </row>
    <row r="12" spans="1:20" x14ac:dyDescent="0.25">
      <c r="A12" s="881">
        <v>5144</v>
      </c>
      <c r="B12" s="63" t="s">
        <v>157</v>
      </c>
      <c r="C12" s="250">
        <v>750</v>
      </c>
      <c r="D12" s="37">
        <v>900</v>
      </c>
      <c r="E12" s="37">
        <v>900</v>
      </c>
      <c r="F12" s="37">
        <v>900</v>
      </c>
      <c r="G12" s="37">
        <v>2500</v>
      </c>
      <c r="H12" s="37">
        <v>2700</v>
      </c>
      <c r="I12" s="37">
        <v>1600</v>
      </c>
      <c r="J12" s="37">
        <v>1400</v>
      </c>
      <c r="K12" s="38">
        <v>2200</v>
      </c>
      <c r="L12" s="37">
        <v>1400</v>
      </c>
      <c r="M12" s="38">
        <v>1400</v>
      </c>
      <c r="N12" s="37">
        <v>300</v>
      </c>
      <c r="O12" s="38">
        <v>1400</v>
      </c>
      <c r="P12" s="38"/>
      <c r="Q12">
        <f>+O12-M12</f>
        <v>0</v>
      </c>
    </row>
    <row r="13" spans="1:20" x14ac:dyDescent="0.25">
      <c r="A13" s="881">
        <v>5193</v>
      </c>
      <c r="B13" s="63" t="s">
        <v>699</v>
      </c>
      <c r="C13" s="250"/>
      <c r="D13" s="37">
        <v>6487.78</v>
      </c>
      <c r="E13" s="37"/>
      <c r="F13" s="37">
        <v>707.13</v>
      </c>
      <c r="G13" s="37"/>
      <c r="H13" s="37">
        <v>2715.6</v>
      </c>
      <c r="I13" s="37">
        <v>1817.29</v>
      </c>
      <c r="J13" s="37"/>
      <c r="K13" s="38"/>
      <c r="L13" s="37">
        <v>1172.48</v>
      </c>
      <c r="M13" s="38"/>
      <c r="N13" s="37">
        <v>6983.01</v>
      </c>
      <c r="O13" s="38"/>
      <c r="P13" s="38"/>
    </row>
    <row r="14" spans="1:20" ht="13.8" thickBot="1" x14ac:dyDescent="0.3">
      <c r="A14" s="881">
        <v>5194</v>
      </c>
      <c r="B14" s="63" t="s">
        <v>226</v>
      </c>
      <c r="C14" s="131"/>
      <c r="D14" s="15">
        <v>2500</v>
      </c>
      <c r="E14" s="15"/>
      <c r="F14" s="15">
        <v>410.14</v>
      </c>
      <c r="G14" s="15"/>
      <c r="H14" s="15">
        <v>3188.64</v>
      </c>
      <c r="I14" s="15"/>
      <c r="J14" s="15"/>
      <c r="K14" s="16"/>
      <c r="L14" s="15"/>
      <c r="M14" s="16"/>
      <c r="N14" s="15">
        <v>3500</v>
      </c>
      <c r="O14" s="16"/>
      <c r="P14" s="16"/>
    </row>
    <row r="15" spans="1:20" x14ac:dyDescent="0.25">
      <c r="A15" s="881"/>
      <c r="B15" s="64" t="s">
        <v>130</v>
      </c>
      <c r="C15" s="132">
        <f t="shared" ref="C15:N15" si="0">SUM(C9:C14)</f>
        <v>208690.99000000002</v>
      </c>
      <c r="D15" s="18">
        <f t="shared" si="0"/>
        <v>212850.29</v>
      </c>
      <c r="E15" s="18">
        <f t="shared" si="0"/>
        <v>228233.17</v>
      </c>
      <c r="F15" s="18">
        <f>SUM(F9:F14)</f>
        <v>234489.54000000004</v>
      </c>
      <c r="G15" s="18">
        <f>SUM(G9:G14)</f>
        <v>245784.12</v>
      </c>
      <c r="H15" s="18">
        <f>SUM(H9:H14)</f>
        <v>257315.19000000003</v>
      </c>
      <c r="I15" s="18">
        <f t="shared" si="0"/>
        <v>253607.29</v>
      </c>
      <c r="J15" s="18">
        <f t="shared" si="0"/>
        <v>272466.65999999997</v>
      </c>
      <c r="K15" s="19">
        <f>SUM(K9:K14)</f>
        <v>285844</v>
      </c>
      <c r="L15" s="18">
        <f t="shared" ref="L15:M15" si="1">SUM(L9:L14)</f>
        <v>281567.19999999995</v>
      </c>
      <c r="M15" s="19">
        <f t="shared" si="1"/>
        <v>294178</v>
      </c>
      <c r="N15" s="18">
        <f t="shared" si="0"/>
        <v>157948.96000000002</v>
      </c>
      <c r="O15" s="19">
        <f>SUM(O9:O14)</f>
        <v>298519</v>
      </c>
      <c r="P15" s="19">
        <f>SUM(P9:P14)</f>
        <v>0</v>
      </c>
      <c r="S15" s="216"/>
      <c r="T15" s="54"/>
    </row>
    <row r="16" spans="1:20" x14ac:dyDescent="0.25">
      <c r="A16" s="881"/>
      <c r="B16" s="63"/>
      <c r="C16" s="130"/>
      <c r="D16" s="13"/>
      <c r="E16" s="13"/>
      <c r="F16" s="13"/>
      <c r="G16" s="13"/>
      <c r="H16" s="13"/>
      <c r="I16" s="13"/>
      <c r="J16" s="13"/>
      <c r="K16" s="14"/>
      <c r="L16" s="13"/>
      <c r="M16" s="14"/>
      <c r="N16" s="13"/>
      <c r="O16" s="14"/>
      <c r="P16" s="14"/>
      <c r="Q16">
        <f t="shared" ref="Q16:Q38" si="2">+O16-M16</f>
        <v>0</v>
      </c>
      <c r="S16" s="216"/>
      <c r="T16" s="54"/>
    </row>
    <row r="17" spans="1:20" x14ac:dyDescent="0.25">
      <c r="A17" s="881">
        <v>5211</v>
      </c>
      <c r="B17" s="63" t="s">
        <v>192</v>
      </c>
      <c r="C17" s="130">
        <v>6528.19</v>
      </c>
      <c r="D17" s="13">
        <v>7238.61</v>
      </c>
      <c r="E17" s="13">
        <v>6501.22</v>
      </c>
      <c r="F17" s="13">
        <v>7216.42</v>
      </c>
      <c r="G17" s="13">
        <v>6797.06</v>
      </c>
      <c r="H17" s="13">
        <v>7120.37</v>
      </c>
      <c r="I17" s="144">
        <v>7747.08</v>
      </c>
      <c r="J17" s="144">
        <v>6640.35</v>
      </c>
      <c r="K17" s="122">
        <v>8000</v>
      </c>
      <c r="L17" s="144">
        <v>7158.57</v>
      </c>
      <c r="M17" s="122">
        <v>8000</v>
      </c>
      <c r="N17" s="13">
        <v>4269.2</v>
      </c>
      <c r="O17" s="122">
        <v>8000</v>
      </c>
      <c r="P17" s="122"/>
      <c r="Q17">
        <f t="shared" si="2"/>
        <v>0</v>
      </c>
      <c r="S17" s="54"/>
    </row>
    <row r="18" spans="1:20" x14ac:dyDescent="0.25">
      <c r="A18" s="881">
        <v>5213</v>
      </c>
      <c r="B18" s="63" t="s">
        <v>193</v>
      </c>
      <c r="C18" s="130">
        <v>10256.49</v>
      </c>
      <c r="D18" s="13">
        <v>12343.26</v>
      </c>
      <c r="E18" s="13">
        <v>11693.15</v>
      </c>
      <c r="F18" s="13">
        <v>7640.51</v>
      </c>
      <c r="G18" s="13">
        <v>5614.06</v>
      </c>
      <c r="H18" s="13">
        <v>7122.89</v>
      </c>
      <c r="I18" s="144">
        <v>9577.5300000000007</v>
      </c>
      <c r="J18" s="144">
        <v>7786.05</v>
      </c>
      <c r="K18" s="122">
        <v>10700</v>
      </c>
      <c r="L18" s="144">
        <v>5704.58</v>
      </c>
      <c r="M18" s="122">
        <v>10700</v>
      </c>
      <c r="N18" s="13">
        <v>2186.33</v>
      </c>
      <c r="O18" s="122">
        <v>10700</v>
      </c>
      <c r="P18" s="122"/>
      <c r="Q18">
        <f t="shared" si="2"/>
        <v>0</v>
      </c>
      <c r="S18" s="54"/>
    </row>
    <row r="19" spans="1:20" x14ac:dyDescent="0.25">
      <c r="A19" s="881">
        <v>5231</v>
      </c>
      <c r="B19" s="12" t="s">
        <v>194</v>
      </c>
      <c r="C19" s="13">
        <v>138</v>
      </c>
      <c r="D19" s="13">
        <v>135</v>
      </c>
      <c r="E19" s="13">
        <v>145.6</v>
      </c>
      <c r="F19" s="13">
        <v>139.19999999999999</v>
      </c>
      <c r="G19" s="13">
        <v>135.6</v>
      </c>
      <c r="H19" s="13">
        <v>133.19999999999999</v>
      </c>
      <c r="I19" s="144">
        <v>135.6</v>
      </c>
      <c r="J19" s="144">
        <v>184.5</v>
      </c>
      <c r="K19" s="122">
        <v>150</v>
      </c>
      <c r="L19" s="144">
        <v>132</v>
      </c>
      <c r="M19" s="122">
        <v>150</v>
      </c>
      <c r="N19" s="13">
        <v>121.8</v>
      </c>
      <c r="O19" s="122">
        <v>150</v>
      </c>
      <c r="P19" s="122"/>
      <c r="Q19">
        <f t="shared" si="2"/>
        <v>0</v>
      </c>
      <c r="S19" s="94"/>
    </row>
    <row r="20" spans="1:20" x14ac:dyDescent="0.25">
      <c r="A20" s="881">
        <v>5232</v>
      </c>
      <c r="B20" s="12" t="s">
        <v>195</v>
      </c>
      <c r="C20" s="13">
        <v>252</v>
      </c>
      <c r="D20" s="13">
        <v>246.16</v>
      </c>
      <c r="E20" s="13">
        <v>233.72</v>
      </c>
      <c r="F20" s="13">
        <v>277.2</v>
      </c>
      <c r="G20" s="13">
        <v>280</v>
      </c>
      <c r="H20" s="13">
        <v>204.48</v>
      </c>
      <c r="I20" s="144">
        <v>322.08</v>
      </c>
      <c r="J20" s="144">
        <v>352.64</v>
      </c>
      <c r="K20" s="122">
        <v>350</v>
      </c>
      <c r="L20" s="144">
        <v>457.84</v>
      </c>
      <c r="M20" s="122">
        <v>350</v>
      </c>
      <c r="N20" s="13">
        <v>208.41</v>
      </c>
      <c r="O20" s="122">
        <v>350</v>
      </c>
      <c r="P20" s="122"/>
      <c r="Q20">
        <f t="shared" si="2"/>
        <v>0</v>
      </c>
      <c r="S20" s="94"/>
    </row>
    <row r="21" spans="1:20" x14ac:dyDescent="0.25">
      <c r="A21" s="881">
        <v>5241</v>
      </c>
      <c r="B21" s="12" t="s">
        <v>1619</v>
      </c>
      <c r="C21" s="13"/>
      <c r="D21" s="13"/>
      <c r="E21" s="13"/>
      <c r="F21" s="13"/>
      <c r="G21" s="13"/>
      <c r="H21" s="13"/>
      <c r="I21" s="144"/>
      <c r="J21" s="144"/>
      <c r="K21" s="122">
        <v>715</v>
      </c>
      <c r="L21" s="144">
        <v>575</v>
      </c>
      <c r="M21" s="122"/>
      <c r="N21" s="13"/>
      <c r="O21" s="122">
        <v>4500</v>
      </c>
      <c r="P21" s="122"/>
      <c r="Q21">
        <f t="shared" si="2"/>
        <v>4500</v>
      </c>
      <c r="S21" s="94"/>
    </row>
    <row r="22" spans="1:20" x14ac:dyDescent="0.25">
      <c r="A22" s="881">
        <v>5242</v>
      </c>
      <c r="B22" s="12" t="s">
        <v>1618</v>
      </c>
      <c r="C22" s="13"/>
      <c r="D22" s="13"/>
      <c r="E22" s="13"/>
      <c r="F22" s="13"/>
      <c r="G22" s="13"/>
      <c r="H22" s="13"/>
      <c r="I22" s="144"/>
      <c r="J22" s="144">
        <v>506.69</v>
      </c>
      <c r="K22" s="122"/>
      <c r="L22" s="144">
        <v>324</v>
      </c>
      <c r="M22" s="122">
        <v>715</v>
      </c>
      <c r="N22" s="13">
        <v>72</v>
      </c>
      <c r="O22" s="122">
        <v>715</v>
      </c>
      <c r="P22" s="122"/>
      <c r="Q22">
        <f t="shared" si="2"/>
        <v>0</v>
      </c>
      <c r="S22" s="94"/>
    </row>
    <row r="23" spans="1:20" x14ac:dyDescent="0.25">
      <c r="A23" s="881">
        <v>5247</v>
      </c>
      <c r="B23" s="12" t="s">
        <v>1138</v>
      </c>
      <c r="C23" s="13">
        <v>11095</v>
      </c>
      <c r="D23" s="13">
        <v>12472</v>
      </c>
      <c r="E23" s="13">
        <v>11895.93</v>
      </c>
      <c r="F23" s="13">
        <v>11092.95</v>
      </c>
      <c r="G23" s="13">
        <v>12025</v>
      </c>
      <c r="H23" s="13">
        <v>14542</v>
      </c>
      <c r="I23" s="144">
        <v>15438.4</v>
      </c>
      <c r="J23" s="144">
        <v>15168.13</v>
      </c>
      <c r="K23" s="122">
        <v>15500</v>
      </c>
      <c r="L23" s="144">
        <v>16158.81</v>
      </c>
      <c r="M23" s="122">
        <v>15500</v>
      </c>
      <c r="N23" s="13">
        <v>13818.5</v>
      </c>
      <c r="O23" s="122">
        <v>15500</v>
      </c>
      <c r="P23" s="122"/>
      <c r="Q23">
        <f t="shared" si="2"/>
        <v>0</v>
      </c>
      <c r="S23" s="94"/>
    </row>
    <row r="24" spans="1:20" x14ac:dyDescent="0.25">
      <c r="A24" s="881">
        <v>5248</v>
      </c>
      <c r="B24" s="12" t="s">
        <v>138</v>
      </c>
      <c r="C24" s="13"/>
      <c r="D24" s="13">
        <v>455.76</v>
      </c>
      <c r="E24" s="13"/>
      <c r="F24" s="13">
        <v>333.32</v>
      </c>
      <c r="G24" s="13">
        <v>703</v>
      </c>
      <c r="H24" s="13">
        <v>545</v>
      </c>
      <c r="I24" s="144">
        <v>917.23</v>
      </c>
      <c r="J24" s="144">
        <v>400</v>
      </c>
      <c r="K24" s="122">
        <v>700</v>
      </c>
      <c r="L24" s="144">
        <v>2034.57</v>
      </c>
      <c r="M24" s="122">
        <v>700</v>
      </c>
      <c r="N24" s="13"/>
      <c r="O24" s="122">
        <v>700</v>
      </c>
      <c r="P24" s="122"/>
      <c r="Q24">
        <f t="shared" si="2"/>
        <v>0</v>
      </c>
      <c r="S24" s="94"/>
    </row>
    <row r="25" spans="1:20" hidden="1" x14ac:dyDescent="0.25">
      <c r="A25" s="881">
        <v>5341</v>
      </c>
      <c r="B25" s="12" t="s">
        <v>141</v>
      </c>
      <c r="C25" s="13">
        <v>1126.05</v>
      </c>
      <c r="D25" s="13">
        <v>1122.06</v>
      </c>
      <c r="E25" s="13">
        <v>1125.47</v>
      </c>
      <c r="F25" s="13">
        <v>1252.81</v>
      </c>
      <c r="G25" s="13">
        <v>1280.8599999999999</v>
      </c>
      <c r="H25" s="13"/>
      <c r="I25" s="144"/>
      <c r="J25" s="144"/>
      <c r="K25" s="122"/>
      <c r="L25" s="144"/>
      <c r="M25" s="122"/>
      <c r="N25" s="13"/>
      <c r="O25" s="122"/>
      <c r="P25" s="122"/>
      <c r="Q25">
        <f t="shared" si="2"/>
        <v>0</v>
      </c>
      <c r="S25" s="202"/>
      <c r="T25" s="54"/>
    </row>
    <row r="26" spans="1:20" x14ac:dyDescent="0.25">
      <c r="A26" s="881">
        <v>5341</v>
      </c>
      <c r="B26" s="12" t="s">
        <v>1477</v>
      </c>
      <c r="C26" s="13"/>
      <c r="D26" s="13"/>
      <c r="E26" s="13"/>
      <c r="F26" s="13"/>
      <c r="G26" s="13"/>
      <c r="H26" s="13"/>
      <c r="I26" s="144"/>
      <c r="J26" s="144"/>
      <c r="K26" s="122"/>
      <c r="L26" s="144"/>
      <c r="M26" s="122">
        <v>2460</v>
      </c>
      <c r="N26" s="13">
        <v>613.5</v>
      </c>
      <c r="O26" s="122">
        <v>4860</v>
      </c>
      <c r="P26" s="122"/>
      <c r="Q26">
        <f t="shared" si="2"/>
        <v>2400</v>
      </c>
      <c r="S26" s="202"/>
      <c r="T26" s="54"/>
    </row>
    <row r="27" spans="1:20" x14ac:dyDescent="0.25">
      <c r="A27" s="881">
        <v>5344</v>
      </c>
      <c r="B27" s="12" t="s">
        <v>142</v>
      </c>
      <c r="C27" s="13">
        <v>179.19</v>
      </c>
      <c r="D27" s="13">
        <v>88.46</v>
      </c>
      <c r="E27" s="13">
        <v>176.99</v>
      </c>
      <c r="F27" s="13">
        <v>179.51</v>
      </c>
      <c r="G27" s="13">
        <v>213.48</v>
      </c>
      <c r="H27" s="13">
        <v>184.31</v>
      </c>
      <c r="I27" s="144">
        <v>216.19</v>
      </c>
      <c r="J27" s="144">
        <v>317.29000000000002</v>
      </c>
      <c r="K27" s="122">
        <v>200</v>
      </c>
      <c r="L27" s="144">
        <v>243.25</v>
      </c>
      <c r="M27" s="122">
        <v>200</v>
      </c>
      <c r="N27" s="13">
        <v>42.36</v>
      </c>
      <c r="O27" s="122">
        <v>500</v>
      </c>
      <c r="P27" s="122"/>
      <c r="Q27">
        <f t="shared" si="2"/>
        <v>300</v>
      </c>
      <c r="S27" s="202"/>
      <c r="T27" s="54"/>
    </row>
    <row r="28" spans="1:20" x14ac:dyDescent="0.25">
      <c r="A28" s="881">
        <v>5345</v>
      </c>
      <c r="B28" s="12" t="s">
        <v>143</v>
      </c>
      <c r="C28" s="13">
        <v>122.62</v>
      </c>
      <c r="D28" s="13">
        <v>321.16000000000003</v>
      </c>
      <c r="E28" s="13"/>
      <c r="F28" s="13">
        <v>138.38</v>
      </c>
      <c r="G28" s="13">
        <v>50</v>
      </c>
      <c r="H28" s="13">
        <v>234.93</v>
      </c>
      <c r="I28" s="144">
        <v>256.62</v>
      </c>
      <c r="J28" s="144">
        <v>66.09</v>
      </c>
      <c r="K28" s="122">
        <v>200</v>
      </c>
      <c r="L28" s="144">
        <v>288.5</v>
      </c>
      <c r="M28" s="122">
        <v>200</v>
      </c>
      <c r="N28" s="13">
        <v>839.35</v>
      </c>
      <c r="O28" s="122">
        <v>500</v>
      </c>
      <c r="P28" s="122"/>
      <c r="Q28">
        <f t="shared" si="2"/>
        <v>300</v>
      </c>
      <c r="S28" s="202"/>
      <c r="T28" s="54"/>
    </row>
    <row r="29" spans="1:20" x14ac:dyDescent="0.25">
      <c r="A29" s="881">
        <v>5350</v>
      </c>
      <c r="B29" s="12" t="s">
        <v>223</v>
      </c>
      <c r="C29" s="102">
        <v>1000</v>
      </c>
      <c r="D29" s="102">
        <v>6050</v>
      </c>
      <c r="E29" s="102">
        <v>5055</v>
      </c>
      <c r="F29" s="102">
        <v>5650</v>
      </c>
      <c r="G29" s="102">
        <v>5290</v>
      </c>
      <c r="H29" s="13">
        <v>6025</v>
      </c>
      <c r="I29" s="312">
        <v>6815</v>
      </c>
      <c r="J29" s="312">
        <v>6655</v>
      </c>
      <c r="K29" s="252">
        <v>6000</v>
      </c>
      <c r="L29" s="312">
        <v>3790</v>
      </c>
      <c r="M29" s="252">
        <v>6000</v>
      </c>
      <c r="N29" s="102">
        <v>3290</v>
      </c>
      <c r="O29" s="252">
        <v>7500</v>
      </c>
      <c r="P29" s="122"/>
      <c r="Q29">
        <f t="shared" si="2"/>
        <v>1500</v>
      </c>
      <c r="S29" s="54"/>
      <c r="T29" s="54"/>
    </row>
    <row r="30" spans="1:20" x14ac:dyDescent="0.25">
      <c r="A30" s="881">
        <v>5360</v>
      </c>
      <c r="B30" s="12" t="s">
        <v>1130</v>
      </c>
      <c r="C30" s="102"/>
      <c r="D30" s="102"/>
      <c r="E30" s="102"/>
      <c r="F30" s="102"/>
      <c r="G30" s="102"/>
      <c r="H30" s="102"/>
      <c r="I30" s="312">
        <v>1650</v>
      </c>
      <c r="J30" s="312">
        <v>1166</v>
      </c>
      <c r="K30" s="252">
        <v>1775</v>
      </c>
      <c r="L30" s="312">
        <v>1441</v>
      </c>
      <c r="M30" s="252">
        <v>1775</v>
      </c>
      <c r="N30" s="102">
        <v>737</v>
      </c>
      <c r="O30" s="252">
        <v>1775</v>
      </c>
      <c r="P30" s="122"/>
      <c r="Q30">
        <f t="shared" si="2"/>
        <v>0</v>
      </c>
      <c r="S30" s="54"/>
      <c r="T30" s="54"/>
    </row>
    <row r="31" spans="1:20" x14ac:dyDescent="0.25">
      <c r="A31" s="881">
        <v>5380</v>
      </c>
      <c r="B31" s="12" t="s">
        <v>224</v>
      </c>
      <c r="C31" s="13">
        <v>100</v>
      </c>
      <c r="D31" s="13">
        <v>106</v>
      </c>
      <c r="E31" s="13">
        <v>112</v>
      </c>
      <c r="F31" s="13">
        <v>114</v>
      </c>
      <c r="G31" s="13">
        <v>110</v>
      </c>
      <c r="H31" s="13">
        <v>116</v>
      </c>
      <c r="I31" s="144">
        <v>116</v>
      </c>
      <c r="J31" s="144">
        <v>60</v>
      </c>
      <c r="K31" s="122">
        <v>116</v>
      </c>
      <c r="L31" s="144"/>
      <c r="M31" s="122">
        <v>116</v>
      </c>
      <c r="N31" s="13"/>
      <c r="O31" s="122">
        <v>116</v>
      </c>
      <c r="P31" s="122"/>
      <c r="Q31">
        <f t="shared" si="2"/>
        <v>0</v>
      </c>
      <c r="S31" s="94"/>
    </row>
    <row r="32" spans="1:20" x14ac:dyDescent="0.25">
      <c r="A32" s="881">
        <v>5420</v>
      </c>
      <c r="B32" s="12" t="s">
        <v>144</v>
      </c>
      <c r="C32" s="18">
        <v>3279.66</v>
      </c>
      <c r="D32" s="18">
        <v>6687.37</v>
      </c>
      <c r="E32" s="18">
        <v>3415.71</v>
      </c>
      <c r="F32" s="18">
        <v>5197</v>
      </c>
      <c r="G32" s="18">
        <v>5791.64</v>
      </c>
      <c r="H32" s="18">
        <v>5671.04</v>
      </c>
      <c r="I32" s="126">
        <v>9037.44</v>
      </c>
      <c r="J32" s="126">
        <v>8947.49</v>
      </c>
      <c r="K32" s="124">
        <v>6000</v>
      </c>
      <c r="L32" s="126">
        <v>13368.25</v>
      </c>
      <c r="M32" s="124">
        <v>6000</v>
      </c>
      <c r="N32" s="18">
        <v>3632.63</v>
      </c>
      <c r="O32" s="124">
        <v>7000</v>
      </c>
      <c r="P32" s="124"/>
      <c r="Q32">
        <f t="shared" si="2"/>
        <v>1000</v>
      </c>
    </row>
    <row r="33" spans="1:19" x14ac:dyDescent="0.25">
      <c r="A33" s="881">
        <v>5580</v>
      </c>
      <c r="B33" s="12" t="s">
        <v>145</v>
      </c>
      <c r="C33" s="13">
        <v>1205.0999999999999</v>
      </c>
      <c r="D33" s="13">
        <v>1212.29</v>
      </c>
      <c r="E33" s="13">
        <v>1200</v>
      </c>
      <c r="F33" s="13">
        <v>1396.61</v>
      </c>
      <c r="G33" s="13">
        <v>1434.13</v>
      </c>
      <c r="H33" s="13">
        <v>1706.55</v>
      </c>
      <c r="I33" s="144">
        <v>2931.51</v>
      </c>
      <c r="J33" s="144">
        <v>1659.73</v>
      </c>
      <c r="K33" s="122">
        <v>1600</v>
      </c>
      <c r="L33" s="144">
        <v>5052.8500000000004</v>
      </c>
      <c r="M33" s="122">
        <v>1600</v>
      </c>
      <c r="N33" s="13">
        <v>1084.8800000000001</v>
      </c>
      <c r="O33" s="122">
        <v>1600</v>
      </c>
      <c r="P33" s="122"/>
      <c r="Q33">
        <f t="shared" si="2"/>
        <v>0</v>
      </c>
    </row>
    <row r="34" spans="1:19" x14ac:dyDescent="0.25">
      <c r="A34" s="881">
        <v>5581</v>
      </c>
      <c r="B34" s="12" t="s">
        <v>146</v>
      </c>
      <c r="C34" s="13">
        <v>31287.93</v>
      </c>
      <c r="D34" s="13">
        <v>35475.230000000003</v>
      </c>
      <c r="E34" s="13">
        <v>37931.71</v>
      </c>
      <c r="F34" s="13">
        <v>39707.629999999997</v>
      </c>
      <c r="G34" s="13">
        <v>47074.11</v>
      </c>
      <c r="H34" s="13">
        <v>50317.24</v>
      </c>
      <c r="I34" s="144">
        <v>54607.29</v>
      </c>
      <c r="J34" s="144">
        <v>56273.09</v>
      </c>
      <c r="K34" s="122">
        <v>48800</v>
      </c>
      <c r="L34" s="144">
        <v>53497.66</v>
      </c>
      <c r="M34" s="122">
        <v>48800</v>
      </c>
      <c r="N34" s="13">
        <v>22783.69</v>
      </c>
      <c r="O34" s="122">
        <v>49000</v>
      </c>
      <c r="P34" s="122"/>
      <c r="Q34">
        <f t="shared" si="2"/>
        <v>200</v>
      </c>
    </row>
    <row r="35" spans="1:19" x14ac:dyDescent="0.25">
      <c r="A35" s="881">
        <v>5587</v>
      </c>
      <c r="B35" s="12" t="s">
        <v>225</v>
      </c>
      <c r="C35" s="13">
        <v>26171.85</v>
      </c>
      <c r="D35" s="13">
        <v>26921.83</v>
      </c>
      <c r="E35" s="13">
        <v>29068.29</v>
      </c>
      <c r="F35" s="13">
        <v>33945.919999999998</v>
      </c>
      <c r="G35" s="13">
        <v>31235.09</v>
      </c>
      <c r="H35" s="13">
        <v>32881.35</v>
      </c>
      <c r="I35" s="144">
        <v>35090.83</v>
      </c>
      <c r="J35" s="144">
        <v>31435.41</v>
      </c>
      <c r="K35" s="122">
        <v>37800</v>
      </c>
      <c r="L35" s="144">
        <v>29396.58</v>
      </c>
      <c r="M35" s="122">
        <v>37800</v>
      </c>
      <c r="N35" s="13">
        <v>13773.33</v>
      </c>
      <c r="O35" s="122">
        <v>38000</v>
      </c>
      <c r="P35" s="122"/>
      <c r="Q35">
        <f t="shared" si="2"/>
        <v>200</v>
      </c>
    </row>
    <row r="36" spans="1:19" x14ac:dyDescent="0.25">
      <c r="A36" s="881">
        <v>5590</v>
      </c>
      <c r="B36" s="26" t="s">
        <v>559</v>
      </c>
      <c r="C36" s="13">
        <v>839.2</v>
      </c>
      <c r="D36" s="13">
        <v>424.94</v>
      </c>
      <c r="E36" s="13">
        <v>64.989999999999995</v>
      </c>
      <c r="F36" s="13">
        <v>837.33</v>
      </c>
      <c r="G36" s="13"/>
      <c r="H36" s="13">
        <v>762.11</v>
      </c>
      <c r="I36" s="144">
        <v>2266.85</v>
      </c>
      <c r="J36" s="144">
        <v>38.69</v>
      </c>
      <c r="K36" s="122">
        <v>1000</v>
      </c>
      <c r="L36" s="144">
        <v>4465.55</v>
      </c>
      <c r="M36" s="122">
        <v>1000</v>
      </c>
      <c r="N36" s="13"/>
      <c r="O36" s="122">
        <v>1000</v>
      </c>
      <c r="P36" s="122"/>
      <c r="Q36">
        <f t="shared" si="2"/>
        <v>0</v>
      </c>
    </row>
    <row r="37" spans="1:19" x14ac:dyDescent="0.25">
      <c r="A37" s="881">
        <v>5710</v>
      </c>
      <c r="B37" s="12" t="s">
        <v>535</v>
      </c>
      <c r="C37" s="18">
        <v>1628.73</v>
      </c>
      <c r="D37" s="18">
        <v>1042.58</v>
      </c>
      <c r="E37" s="18">
        <v>790.05</v>
      </c>
      <c r="F37" s="18">
        <v>1440.67</v>
      </c>
      <c r="G37" s="18">
        <v>1047.8499999999999</v>
      </c>
      <c r="H37" s="18">
        <v>1446.34</v>
      </c>
      <c r="I37" s="126">
        <v>1229.06</v>
      </c>
      <c r="J37" s="126">
        <v>947.19</v>
      </c>
      <c r="K37" s="124">
        <v>1400</v>
      </c>
      <c r="L37" s="126">
        <v>797.72</v>
      </c>
      <c r="M37" s="124">
        <v>1400</v>
      </c>
      <c r="N37" s="18">
        <v>637.84</v>
      </c>
      <c r="O37" s="124">
        <v>1400</v>
      </c>
      <c r="P37" s="124"/>
      <c r="Q37">
        <f t="shared" si="2"/>
        <v>0</v>
      </c>
    </row>
    <row r="38" spans="1:19" ht="13.8" thickBot="1" x14ac:dyDescent="0.3">
      <c r="A38" s="881">
        <v>5730</v>
      </c>
      <c r="B38" s="12" t="s">
        <v>147</v>
      </c>
      <c r="C38" s="15"/>
      <c r="D38" s="15">
        <v>40</v>
      </c>
      <c r="E38" s="15"/>
      <c r="F38" s="15">
        <v>100</v>
      </c>
      <c r="G38" s="15">
        <v>104</v>
      </c>
      <c r="H38" s="15"/>
      <c r="I38" s="318"/>
      <c r="J38" s="318"/>
      <c r="K38" s="123">
        <v>100</v>
      </c>
      <c r="L38" s="318"/>
      <c r="M38" s="123">
        <v>100</v>
      </c>
      <c r="N38" s="15"/>
      <c r="O38" s="123">
        <v>100</v>
      </c>
      <c r="P38" s="123"/>
      <c r="Q38">
        <f t="shared" si="2"/>
        <v>0</v>
      </c>
    </row>
    <row r="39" spans="1:19" x14ac:dyDescent="0.25">
      <c r="A39" s="881"/>
      <c r="B39" s="17" t="s">
        <v>449</v>
      </c>
      <c r="C39" s="13">
        <f t="shared" ref="C39:P39" si="3">SUM(C17:C38)</f>
        <v>95210.00999999998</v>
      </c>
      <c r="D39" s="13">
        <f t="shared" si="3"/>
        <v>112382.71000000002</v>
      </c>
      <c r="E39" s="13">
        <f t="shared" si="3"/>
        <v>109409.83000000002</v>
      </c>
      <c r="F39" s="18">
        <f t="shared" si="3"/>
        <v>116659.46</v>
      </c>
      <c r="G39" s="18">
        <f t="shared" si="3"/>
        <v>119185.88</v>
      </c>
      <c r="H39" s="18">
        <f t="shared" si="3"/>
        <v>129012.81000000001</v>
      </c>
      <c r="I39" s="18">
        <f t="shared" si="3"/>
        <v>148354.71000000002</v>
      </c>
      <c r="J39" s="18">
        <f t="shared" si="3"/>
        <v>138604.34</v>
      </c>
      <c r="K39" s="124">
        <f t="shared" si="3"/>
        <v>141106</v>
      </c>
      <c r="L39" s="126">
        <f t="shared" ref="L39:M39" si="4">SUM(L17:L38)</f>
        <v>144886.73000000001</v>
      </c>
      <c r="M39" s="124">
        <f t="shared" si="4"/>
        <v>143566</v>
      </c>
      <c r="N39" s="13">
        <f t="shared" si="3"/>
        <v>68110.819999999992</v>
      </c>
      <c r="O39" s="124">
        <f t="shared" si="3"/>
        <v>153966</v>
      </c>
      <c r="P39" s="124">
        <f t="shared" si="3"/>
        <v>0</v>
      </c>
    </row>
    <row r="40" spans="1:19" x14ac:dyDescent="0.25">
      <c r="A40" s="881"/>
      <c r="B40" s="17"/>
      <c r="C40" s="13"/>
      <c r="D40" s="13"/>
      <c r="E40" s="13"/>
      <c r="F40" s="13"/>
      <c r="G40" s="13"/>
      <c r="H40" s="13"/>
      <c r="I40" s="13"/>
      <c r="J40" s="13"/>
      <c r="K40" s="14"/>
      <c r="L40" s="13"/>
      <c r="M40" s="14"/>
      <c r="N40" s="13"/>
      <c r="O40" s="14"/>
      <c r="P40" s="14"/>
    </row>
    <row r="41" spans="1:19" ht="13.8" hidden="1" thickBot="1" x14ac:dyDescent="0.3">
      <c r="A41" s="921">
        <v>5800</v>
      </c>
      <c r="B41" s="63" t="s">
        <v>276</v>
      </c>
      <c r="C41" s="15"/>
      <c r="D41" s="15"/>
      <c r="E41" s="15"/>
      <c r="F41" s="15"/>
      <c r="G41" s="15"/>
      <c r="H41" s="15"/>
      <c r="I41" s="15"/>
      <c r="J41" s="15"/>
      <c r="K41" s="43"/>
      <c r="L41" s="15"/>
      <c r="M41" s="43"/>
      <c r="N41" s="16"/>
      <c r="O41" s="43"/>
      <c r="P41" s="43"/>
    </row>
    <row r="42" spans="1:19" hidden="1" x14ac:dyDescent="0.25">
      <c r="A42" s="921"/>
      <c r="B42" s="116" t="s">
        <v>136</v>
      </c>
      <c r="C42" s="30">
        <f t="shared" ref="C42:N42" si="5">+C41</f>
        <v>0</v>
      </c>
      <c r="D42" s="30">
        <f t="shared" si="5"/>
        <v>0</v>
      </c>
      <c r="E42" s="30">
        <f>+E41</f>
        <v>0</v>
      </c>
      <c r="F42" s="30"/>
      <c r="G42" s="30"/>
      <c r="H42" s="30"/>
      <c r="I42" s="30">
        <f>+I41</f>
        <v>0</v>
      </c>
      <c r="J42" s="30">
        <f>+J41</f>
        <v>0</v>
      </c>
      <c r="K42" s="31">
        <f>+K41</f>
        <v>0</v>
      </c>
      <c r="L42" s="30">
        <f t="shared" ref="L42:M42" si="6">+L41</f>
        <v>0</v>
      </c>
      <c r="M42" s="31">
        <f t="shared" si="6"/>
        <v>0</v>
      </c>
      <c r="N42" s="30">
        <f t="shared" si="5"/>
        <v>0</v>
      </c>
      <c r="O42" s="31">
        <f>+O41</f>
        <v>0</v>
      </c>
      <c r="P42" s="31">
        <f>+P41</f>
        <v>0</v>
      </c>
    </row>
    <row r="43" spans="1:19" hidden="1" x14ac:dyDescent="0.25">
      <c r="A43" s="921"/>
      <c r="B43" s="116"/>
      <c r="C43" s="37"/>
      <c r="D43" s="37"/>
      <c r="E43" s="37"/>
      <c r="F43" s="37"/>
      <c r="G43" s="37"/>
      <c r="H43" s="37"/>
      <c r="I43" s="37"/>
      <c r="J43" s="37"/>
      <c r="K43" s="38"/>
      <c r="L43" s="37"/>
      <c r="M43" s="38"/>
      <c r="N43" s="37"/>
      <c r="O43" s="38"/>
      <c r="P43" s="38"/>
    </row>
    <row r="44" spans="1:19" ht="13.8" thickBot="1" x14ac:dyDescent="0.3">
      <c r="A44" s="882"/>
      <c r="B44" s="20" t="s">
        <v>315</v>
      </c>
      <c r="C44" s="21">
        <f>+C39+C15+C42</f>
        <v>303901</v>
      </c>
      <c r="D44" s="21">
        <f>+D39+D15+D42</f>
        <v>325233</v>
      </c>
      <c r="E44" s="21">
        <f>+E39+E15+E42</f>
        <v>337643</v>
      </c>
      <c r="F44" s="21">
        <f>+F39+F15</f>
        <v>351149.00000000006</v>
      </c>
      <c r="G44" s="21">
        <f>+G39+G15</f>
        <v>364970</v>
      </c>
      <c r="H44" s="21">
        <f>+H39+H15</f>
        <v>386328.00000000006</v>
      </c>
      <c r="I44" s="21">
        <f>+I39+I15+I42</f>
        <v>401962</v>
      </c>
      <c r="J44" s="21">
        <f>+J39+J15+J42</f>
        <v>411071</v>
      </c>
      <c r="K44" s="41">
        <f>+K39+K15+K42</f>
        <v>426950</v>
      </c>
      <c r="L44" s="21">
        <f t="shared" ref="L44:M44" si="7">+L39+L15+L42</f>
        <v>426453.92999999993</v>
      </c>
      <c r="M44" s="41">
        <f t="shared" si="7"/>
        <v>437744</v>
      </c>
      <c r="N44" s="21">
        <f>+N39+N15+N42</f>
        <v>226059.78000000003</v>
      </c>
      <c r="O44" s="41">
        <f>+O39+O15+O42</f>
        <v>452485</v>
      </c>
      <c r="P44" s="41">
        <f>+O44</f>
        <v>452485</v>
      </c>
    </row>
    <row r="45" spans="1:19" ht="13.8" thickTop="1" x14ac:dyDescent="0.25">
      <c r="A45" s="905"/>
      <c r="B45" s="83"/>
      <c r="C45" s="24"/>
      <c r="D45" s="24"/>
      <c r="E45" s="24"/>
      <c r="F45" s="24"/>
      <c r="G45" s="24"/>
      <c r="H45" s="24"/>
      <c r="I45" s="214"/>
      <c r="J45" s="214"/>
      <c r="K45" s="214"/>
      <c r="L45" s="214"/>
      <c r="M45" s="214"/>
      <c r="N45" s="24"/>
      <c r="O45" s="214"/>
      <c r="P45" s="214"/>
    </row>
    <row r="46" spans="1:19" ht="15.6" x14ac:dyDescent="0.3">
      <c r="A46" s="876"/>
      <c r="B46" s="4"/>
      <c r="C46" s="23"/>
      <c r="D46" s="23"/>
      <c r="E46" s="23"/>
      <c r="F46" s="23"/>
      <c r="G46" s="23"/>
      <c r="H46" s="23"/>
      <c r="I46" s="23"/>
      <c r="J46" s="23"/>
      <c r="K46" s="23"/>
      <c r="L46" s="23"/>
      <c r="M46" s="23"/>
      <c r="N46" s="27"/>
      <c r="O46" s="23"/>
      <c r="P46" s="23"/>
      <c r="Q46" s="27"/>
      <c r="R46" s="208"/>
      <c r="S46" s="27"/>
    </row>
    <row r="47" spans="1:19" x14ac:dyDescent="0.25">
      <c r="A47" s="876"/>
      <c r="B47" s="4"/>
      <c r="C47" s="23"/>
      <c r="D47" s="23"/>
      <c r="E47" s="23"/>
      <c r="F47" s="23"/>
      <c r="G47" s="23"/>
      <c r="H47" s="23"/>
      <c r="I47" s="23"/>
      <c r="J47" s="23"/>
      <c r="K47" s="23"/>
      <c r="L47" s="23"/>
      <c r="M47" s="23"/>
      <c r="N47" s="27"/>
      <c r="O47" s="23"/>
      <c r="P47" s="27"/>
      <c r="Q47" s="27"/>
      <c r="R47" s="27"/>
      <c r="S47" s="27"/>
    </row>
    <row r="48" spans="1:19" x14ac:dyDescent="0.25">
      <c r="A48" s="876" t="s">
        <v>527</v>
      </c>
      <c r="B48" s="4"/>
    </row>
    <row r="49" spans="1:17" x14ac:dyDescent="0.25">
      <c r="A49" s="876"/>
      <c r="B49" s="4"/>
    </row>
    <row r="50" spans="1:17" ht="13.8" thickBot="1" x14ac:dyDescent="0.3">
      <c r="A50" s="876"/>
      <c r="B50" s="4"/>
    </row>
    <row r="51" spans="1:17" ht="13.8" thickTop="1" x14ac:dyDescent="0.25">
      <c r="A51" s="883" t="s">
        <v>891</v>
      </c>
      <c r="B51" s="107"/>
      <c r="K51" s="316" t="s">
        <v>85</v>
      </c>
      <c r="L51" s="156" t="s">
        <v>33</v>
      </c>
      <c r="M51" s="168"/>
      <c r="N51" s="158" t="s">
        <v>579</v>
      </c>
      <c r="O51"/>
      <c r="P51" s="212" t="s">
        <v>349</v>
      </c>
    </row>
    <row r="52" spans="1:17" ht="13.8" thickBot="1" x14ac:dyDescent="0.3">
      <c r="A52" s="884" t="s">
        <v>892</v>
      </c>
      <c r="B52" s="109" t="s">
        <v>528</v>
      </c>
      <c r="K52" s="343">
        <v>44743</v>
      </c>
      <c r="L52" s="159" t="s">
        <v>576</v>
      </c>
      <c r="M52" s="160" t="s">
        <v>706</v>
      </c>
      <c r="N52" s="160" t="s">
        <v>106</v>
      </c>
      <c r="O52" s="234" t="s">
        <v>348</v>
      </c>
      <c r="P52" s="234" t="s">
        <v>910</v>
      </c>
      <c r="Q52" s="234" t="s">
        <v>350</v>
      </c>
    </row>
    <row r="53" spans="1:17" ht="13.8" thickTop="1" x14ac:dyDescent="0.25">
      <c r="A53" s="1026"/>
      <c r="B53" s="297" t="s">
        <v>391</v>
      </c>
      <c r="K53" s="18" t="s">
        <v>790</v>
      </c>
      <c r="L53" s="18"/>
      <c r="M53" s="169"/>
      <c r="N53" s="326">
        <f>+'NAGE &amp; Non-Union Wages'!K10</f>
        <v>74282</v>
      </c>
      <c r="O53" s="171"/>
      <c r="P53" s="2"/>
    </row>
    <row r="54" spans="1:17" x14ac:dyDescent="0.25">
      <c r="A54" s="1026"/>
      <c r="B54" s="236" t="s">
        <v>390</v>
      </c>
      <c r="K54" s="144" t="s">
        <v>1428</v>
      </c>
      <c r="L54" s="13">
        <f>+'NAGE &amp; Non-Union Wages'!K8</f>
        <v>27.75</v>
      </c>
      <c r="M54" s="122">
        <v>1827</v>
      </c>
      <c r="N54" s="326">
        <f>ROUND((+M54*L54),2)</f>
        <v>50699.25</v>
      </c>
      <c r="O54" s="171"/>
      <c r="P54" s="2"/>
      <c r="Q54">
        <v>300</v>
      </c>
    </row>
    <row r="55" spans="1:17" x14ac:dyDescent="0.25">
      <c r="A55" s="1026"/>
      <c r="B55" s="236" t="s">
        <v>1469</v>
      </c>
      <c r="K55" s="144"/>
      <c r="L55" s="13"/>
      <c r="M55" s="122"/>
      <c r="N55" s="326">
        <v>3500</v>
      </c>
      <c r="O55" s="171"/>
      <c r="P55" s="2"/>
    </row>
    <row r="56" spans="1:17" x14ac:dyDescent="0.25">
      <c r="A56" s="1026"/>
      <c r="B56" s="63" t="s">
        <v>1973</v>
      </c>
      <c r="K56" s="13" t="s">
        <v>1638</v>
      </c>
      <c r="L56" s="154">
        <f>+'NAGE &amp; Non-Union Wages'!H5</f>
        <v>20.67</v>
      </c>
      <c r="M56" s="122">
        <v>1827</v>
      </c>
      <c r="N56" s="326">
        <f t="shared" ref="N56:N64" si="8">ROUND((+M56*L56),2)</f>
        <v>37764.089999999997</v>
      </c>
      <c r="O56" s="171"/>
      <c r="P56" s="2"/>
      <c r="Q56" s="235">
        <v>300</v>
      </c>
    </row>
    <row r="57" spans="1:17" x14ac:dyDescent="0.25">
      <c r="A57" s="1026"/>
      <c r="B57" s="236" t="s">
        <v>656</v>
      </c>
      <c r="K57" s="13" t="s">
        <v>1810</v>
      </c>
      <c r="L57" s="13">
        <f>+'NAGE &amp; Non-Union Wages'!D4</f>
        <v>15.86</v>
      </c>
      <c r="M57" s="122">
        <v>644</v>
      </c>
      <c r="N57" s="326">
        <f t="shared" si="8"/>
        <v>10213.84</v>
      </c>
      <c r="O57" s="171"/>
      <c r="P57" s="2"/>
      <c r="Q57">
        <v>300</v>
      </c>
    </row>
    <row r="58" spans="1:17" x14ac:dyDescent="0.25">
      <c r="A58" s="1026"/>
      <c r="B58" s="236" t="s">
        <v>656</v>
      </c>
      <c r="K58" s="13" t="s">
        <v>1317</v>
      </c>
      <c r="L58" s="13">
        <f>+'NAGE &amp; Non-Union Wages'!F4</f>
        <v>16.66</v>
      </c>
      <c r="M58" s="122">
        <v>1463</v>
      </c>
      <c r="N58" s="326">
        <f t="shared" si="8"/>
        <v>24373.58</v>
      </c>
      <c r="O58" s="171"/>
      <c r="P58" s="2"/>
    </row>
    <row r="59" spans="1:17" x14ac:dyDescent="0.25">
      <c r="A59" s="1026"/>
      <c r="B59" s="63" t="s">
        <v>656</v>
      </c>
      <c r="K59" s="13" t="s">
        <v>1433</v>
      </c>
      <c r="L59" s="13">
        <f>+'NAGE &amp; Non-Union Wages'!L4</f>
        <v>19.059999999999999</v>
      </c>
      <c r="M59" s="122">
        <v>742</v>
      </c>
      <c r="N59" s="326">
        <f t="shared" si="8"/>
        <v>14142.52</v>
      </c>
      <c r="O59" s="171"/>
      <c r="P59" s="2"/>
      <c r="Q59">
        <v>800</v>
      </c>
    </row>
    <row r="60" spans="1:17" x14ac:dyDescent="0.25">
      <c r="A60" s="1026"/>
      <c r="B60" s="236" t="s">
        <v>656</v>
      </c>
      <c r="K60" s="13" t="s">
        <v>1639</v>
      </c>
      <c r="L60" s="13">
        <f>+'NAGE &amp; Non-Union Wages'!K4</f>
        <v>18.59</v>
      </c>
      <c r="M60" s="122">
        <v>1542</v>
      </c>
      <c r="N60" s="326">
        <f t="shared" si="8"/>
        <v>28665.78</v>
      </c>
      <c r="O60" s="171"/>
      <c r="P60" s="2"/>
    </row>
    <row r="61" spans="1:17" x14ac:dyDescent="0.25">
      <c r="A61" s="1026"/>
      <c r="B61" s="236" t="s">
        <v>656</v>
      </c>
      <c r="K61" s="153" t="s">
        <v>1317</v>
      </c>
      <c r="L61" s="154">
        <f>+'NAGE &amp; Non-Union Wages'!F4</f>
        <v>16.66</v>
      </c>
      <c r="M61" s="122">
        <v>1112</v>
      </c>
      <c r="N61" s="326">
        <f t="shared" si="8"/>
        <v>18525.919999999998</v>
      </c>
      <c r="O61" s="171"/>
      <c r="P61" s="2"/>
    </row>
    <row r="62" spans="1:17" x14ac:dyDescent="0.25">
      <c r="A62" s="1026"/>
      <c r="B62" s="63" t="s">
        <v>1974</v>
      </c>
      <c r="K62" s="13" t="s">
        <v>1237</v>
      </c>
      <c r="L62" s="154">
        <f>+'NAGE &amp; Non-Union Wages'!E4</f>
        <v>16.29</v>
      </c>
      <c r="M62" s="122">
        <v>852</v>
      </c>
      <c r="N62" s="326">
        <f t="shared" si="8"/>
        <v>13879.08</v>
      </c>
      <c r="O62" s="171"/>
      <c r="P62" s="2"/>
    </row>
    <row r="63" spans="1:17" x14ac:dyDescent="0.25">
      <c r="A63" s="1026"/>
      <c r="B63" s="63" t="s">
        <v>656</v>
      </c>
      <c r="K63" s="13" t="s">
        <v>1640</v>
      </c>
      <c r="L63" s="13">
        <f>+'NAGE &amp; Non-Union Wages'!H4</f>
        <v>17.48</v>
      </c>
      <c r="M63" s="122">
        <v>418</v>
      </c>
      <c r="N63" s="326">
        <f t="shared" si="8"/>
        <v>7306.64</v>
      </c>
      <c r="O63" s="171"/>
      <c r="P63" s="2"/>
      <c r="Q63" s="2"/>
    </row>
    <row r="64" spans="1:17" x14ac:dyDescent="0.25">
      <c r="A64" s="1026"/>
      <c r="B64" s="63" t="s">
        <v>1975</v>
      </c>
      <c r="K64" s="13" t="s">
        <v>1429</v>
      </c>
      <c r="L64" s="13">
        <f>+'NAGE &amp; Non-Union Wages'!E5</f>
        <v>19.170000000000002</v>
      </c>
      <c r="M64" s="122">
        <v>679</v>
      </c>
      <c r="N64" s="326">
        <f t="shared" si="8"/>
        <v>13016.43</v>
      </c>
      <c r="O64" s="171"/>
      <c r="P64" s="2"/>
      <c r="Q64" s="2"/>
    </row>
    <row r="65" spans="1:19" x14ac:dyDescent="0.25">
      <c r="B65" s="236"/>
      <c r="K65" s="13"/>
      <c r="L65" s="13"/>
      <c r="M65" s="122"/>
      <c r="N65" s="326"/>
      <c r="O65" s="171"/>
      <c r="P65" s="2"/>
    </row>
    <row r="66" spans="1:19" x14ac:dyDescent="0.25">
      <c r="A66" s="898"/>
      <c r="B66" s="4"/>
      <c r="C66" s="23"/>
      <c r="D66" s="23"/>
      <c r="E66" s="23"/>
      <c r="I66" s="23"/>
      <c r="J66" s="23"/>
      <c r="K66" s="27"/>
      <c r="L66" s="27"/>
      <c r="M66" s="27"/>
      <c r="N66" s="27"/>
      <c r="O66" s="27"/>
      <c r="P66" s="2"/>
      <c r="Q66">
        <f>SUM(Q53:Q65)</f>
        <v>1700</v>
      </c>
    </row>
    <row r="67" spans="1:19" x14ac:dyDescent="0.25">
      <c r="A67" s="922"/>
      <c r="B67" s="138"/>
      <c r="C67" s="317"/>
      <c r="D67" s="226"/>
      <c r="E67" s="226"/>
      <c r="I67" s="226"/>
      <c r="J67" s="226"/>
      <c r="K67" s="134"/>
      <c r="L67" s="134"/>
      <c r="M67" s="134"/>
      <c r="N67" s="167">
        <f>SUM(N53:N66)</f>
        <v>296369.13</v>
      </c>
      <c r="O67" s="4"/>
      <c r="P67" s="2"/>
    </row>
    <row r="68" spans="1:19" ht="13.8" thickBot="1" x14ac:dyDescent="0.3">
      <c r="A68" s="876"/>
      <c r="B68" s="4"/>
      <c r="C68" s="23"/>
      <c r="D68" s="23"/>
      <c r="E68" s="23"/>
      <c r="I68" s="23"/>
      <c r="J68" s="23"/>
      <c r="K68" s="23"/>
      <c r="L68" s="23"/>
      <c r="M68" s="23"/>
      <c r="N68" s="4"/>
      <c r="O68" s="23"/>
      <c r="P68" s="23"/>
      <c r="Q68" s="4"/>
      <c r="R68" s="4"/>
      <c r="S68" s="4"/>
    </row>
    <row r="69" spans="1:19" ht="13.8" thickTop="1" x14ac:dyDescent="0.25">
      <c r="A69" s="893"/>
      <c r="B69" s="452"/>
      <c r="C69" s="453" t="s">
        <v>127</v>
      </c>
      <c r="D69" s="454" t="s">
        <v>127</v>
      </c>
      <c r="E69" s="454" t="s">
        <v>127</v>
      </c>
      <c r="K69" s="455" t="s">
        <v>547</v>
      </c>
      <c r="L69" s="456" t="s">
        <v>9</v>
      </c>
      <c r="M69" s="457" t="s">
        <v>1073</v>
      </c>
      <c r="N69" s="456" t="s">
        <v>686</v>
      </c>
      <c r="O69" s="458"/>
      <c r="P69" s="457"/>
      <c r="Q69" s="4"/>
      <c r="R69" s="4"/>
      <c r="S69" s="4"/>
    </row>
    <row r="70" spans="1:19" ht="13.8" thickBot="1" x14ac:dyDescent="0.3">
      <c r="A70" s="894" t="s">
        <v>128</v>
      </c>
      <c r="B70" s="459"/>
      <c r="C70" s="460" t="s">
        <v>347</v>
      </c>
      <c r="D70" s="460" t="s">
        <v>722</v>
      </c>
      <c r="E70" s="461" t="s">
        <v>737</v>
      </c>
      <c r="K70" s="462" t="s">
        <v>909</v>
      </c>
      <c r="L70" s="462" t="s">
        <v>910</v>
      </c>
      <c r="M70" s="461" t="s">
        <v>1075</v>
      </c>
      <c r="N70" s="463" t="s">
        <v>1075</v>
      </c>
      <c r="O70" s="464" t="s">
        <v>1074</v>
      </c>
      <c r="P70" s="462"/>
      <c r="Q70" s="4"/>
      <c r="R70" s="4"/>
      <c r="S70" s="4"/>
    </row>
    <row r="71" spans="1:19" ht="13.8" thickTop="1" x14ac:dyDescent="0.25">
      <c r="A71" s="906"/>
      <c r="B71" s="487"/>
      <c r="C71" s="488"/>
      <c r="D71" s="489"/>
      <c r="E71" s="489"/>
      <c r="K71" s="490"/>
      <c r="L71" s="654"/>
      <c r="M71" s="500">
        <f t="shared" ref="M71:M99" si="9">+L71-K71</f>
        <v>0</v>
      </c>
      <c r="N71" s="477"/>
      <c r="O71" s="470"/>
      <c r="P71" s="471"/>
      <c r="Q71" s="4"/>
      <c r="R71" s="4"/>
      <c r="S71" s="4"/>
    </row>
    <row r="72" spans="1:19" x14ac:dyDescent="0.25">
      <c r="A72" s="907">
        <v>5111</v>
      </c>
      <c r="B72" s="505" t="s">
        <v>688</v>
      </c>
      <c r="C72" s="476">
        <v>117196.8</v>
      </c>
      <c r="D72" s="476">
        <v>130066.4</v>
      </c>
      <c r="E72" s="476">
        <v>130758.41</v>
      </c>
      <c r="K72" s="475">
        <f t="shared" ref="K72:K77" si="10">+M9</f>
        <v>164309</v>
      </c>
      <c r="L72" s="497">
        <f t="shared" ref="L72:L77" si="11">+O9</f>
        <v>166245</v>
      </c>
      <c r="M72" s="500">
        <f t="shared" si="9"/>
        <v>1936</v>
      </c>
      <c r="N72" s="477">
        <f t="shared" ref="N72:N99" si="12">IF(K72+L72&lt;&gt;0,IF(K72&lt;&gt;0,IF(M72&lt;&gt;0,ROUND((+M72/K72),4),""),1),"")</f>
        <v>1.18E-2</v>
      </c>
      <c r="O72" s="470" t="s">
        <v>1263</v>
      </c>
      <c r="P72" s="471"/>
      <c r="Q72" s="4"/>
      <c r="R72" s="4"/>
      <c r="S72" s="4"/>
    </row>
    <row r="73" spans="1:19" x14ac:dyDescent="0.25">
      <c r="A73" s="907">
        <v>5113</v>
      </c>
      <c r="B73" s="472" t="s">
        <v>689</v>
      </c>
      <c r="C73" s="476">
        <v>90290.59</v>
      </c>
      <c r="D73" s="476">
        <v>72415.990000000005</v>
      </c>
      <c r="E73" s="476">
        <v>96098.85</v>
      </c>
      <c r="K73" s="475">
        <f t="shared" si="10"/>
        <v>127719</v>
      </c>
      <c r="L73" s="497">
        <f t="shared" si="11"/>
        <v>130124</v>
      </c>
      <c r="M73" s="500">
        <f t="shared" si="9"/>
        <v>2405</v>
      </c>
      <c r="N73" s="477">
        <f t="shared" si="12"/>
        <v>1.8800000000000001E-2</v>
      </c>
      <c r="O73" s="470" t="s">
        <v>1263</v>
      </c>
      <c r="P73" s="471"/>
      <c r="Q73" s="4"/>
      <c r="R73" s="4"/>
      <c r="S73" s="4"/>
    </row>
    <row r="74" spans="1:19" x14ac:dyDescent="0.25">
      <c r="A74" s="907">
        <v>5142</v>
      </c>
      <c r="B74" s="472" t="s">
        <v>164</v>
      </c>
      <c r="C74" s="476">
        <v>453.6</v>
      </c>
      <c r="D74" s="476">
        <v>480.12</v>
      </c>
      <c r="E74" s="476">
        <v>475.91</v>
      </c>
      <c r="K74" s="475">
        <f t="shared" si="10"/>
        <v>750</v>
      </c>
      <c r="L74" s="497">
        <f t="shared" si="11"/>
        <v>750</v>
      </c>
      <c r="M74" s="500">
        <f t="shared" si="9"/>
        <v>0</v>
      </c>
      <c r="N74" s="477" t="str">
        <f t="shared" si="12"/>
        <v/>
      </c>
      <c r="O74" s="470"/>
      <c r="P74" s="471"/>
      <c r="Q74" s="4"/>
      <c r="R74" s="4"/>
      <c r="S74" s="4"/>
    </row>
    <row r="75" spans="1:19" x14ac:dyDescent="0.25">
      <c r="A75" s="907">
        <v>5144</v>
      </c>
      <c r="B75" s="472" t="s">
        <v>157</v>
      </c>
      <c r="C75" s="478">
        <v>750</v>
      </c>
      <c r="D75" s="478">
        <v>900</v>
      </c>
      <c r="E75" s="478">
        <v>900</v>
      </c>
      <c r="K75" s="475">
        <f t="shared" si="10"/>
        <v>1400</v>
      </c>
      <c r="L75" s="497">
        <f t="shared" si="11"/>
        <v>1400</v>
      </c>
      <c r="M75" s="500">
        <f t="shared" si="9"/>
        <v>0</v>
      </c>
      <c r="N75" s="477" t="str">
        <f t="shared" si="12"/>
        <v/>
      </c>
      <c r="O75" s="470"/>
      <c r="P75" s="471"/>
      <c r="Q75" s="4"/>
      <c r="R75" s="4"/>
      <c r="S75" s="4"/>
    </row>
    <row r="76" spans="1:19" x14ac:dyDescent="0.25">
      <c r="A76" s="907">
        <v>5193</v>
      </c>
      <c r="B76" s="472" t="s">
        <v>699</v>
      </c>
      <c r="C76" s="478"/>
      <c r="D76" s="478">
        <v>6487.78</v>
      </c>
      <c r="E76" s="478"/>
      <c r="K76" s="475">
        <f t="shared" si="10"/>
        <v>0</v>
      </c>
      <c r="L76" s="497">
        <f t="shared" si="11"/>
        <v>0</v>
      </c>
      <c r="M76" s="500">
        <f t="shared" si="9"/>
        <v>0</v>
      </c>
      <c r="N76" s="477" t="str">
        <f t="shared" si="12"/>
        <v/>
      </c>
      <c r="O76" s="470"/>
      <c r="P76" s="471"/>
      <c r="Q76" s="4"/>
      <c r="R76" s="4"/>
      <c r="S76" s="4"/>
    </row>
    <row r="77" spans="1:19" ht="13.8" thickBot="1" x14ac:dyDescent="0.3">
      <c r="A77" s="907">
        <v>5194</v>
      </c>
      <c r="B77" s="472" t="s">
        <v>226</v>
      </c>
      <c r="C77" s="474"/>
      <c r="D77" s="474">
        <v>2500</v>
      </c>
      <c r="E77" s="474"/>
      <c r="K77" s="475">
        <f t="shared" si="10"/>
        <v>0</v>
      </c>
      <c r="L77" s="497">
        <f t="shared" si="11"/>
        <v>0</v>
      </c>
      <c r="M77" s="500">
        <f t="shared" si="9"/>
        <v>0</v>
      </c>
      <c r="N77" s="477" t="str">
        <f t="shared" si="12"/>
        <v/>
      </c>
      <c r="O77" s="470"/>
      <c r="P77" s="471"/>
      <c r="Q77" s="4"/>
      <c r="R77" s="4"/>
      <c r="S77" s="4"/>
    </row>
    <row r="78" spans="1:19" x14ac:dyDescent="0.25">
      <c r="A78" s="907">
        <v>5211</v>
      </c>
      <c r="B78" s="472" t="s">
        <v>192</v>
      </c>
      <c r="C78" s="476">
        <v>6528.19</v>
      </c>
      <c r="D78" s="476">
        <v>7238.61</v>
      </c>
      <c r="E78" s="476">
        <v>6501.22</v>
      </c>
      <c r="K78" s="469">
        <f>+M17</f>
        <v>8000</v>
      </c>
      <c r="L78" s="497">
        <f>+O17</f>
        <v>8000</v>
      </c>
      <c r="M78" s="500">
        <f t="shared" si="9"/>
        <v>0</v>
      </c>
      <c r="N78" s="477" t="str">
        <f t="shared" si="12"/>
        <v/>
      </c>
      <c r="O78" s="470"/>
      <c r="P78" s="471"/>
      <c r="Q78" s="4"/>
      <c r="R78" s="4"/>
      <c r="S78" s="4"/>
    </row>
    <row r="79" spans="1:19" x14ac:dyDescent="0.25">
      <c r="A79" s="907">
        <v>5213</v>
      </c>
      <c r="B79" s="472" t="s">
        <v>193</v>
      </c>
      <c r="C79" s="476">
        <v>10256.49</v>
      </c>
      <c r="D79" s="476">
        <v>12343.26</v>
      </c>
      <c r="E79" s="476">
        <v>11693.15</v>
      </c>
      <c r="K79" s="469">
        <f>+M18</f>
        <v>10700</v>
      </c>
      <c r="L79" s="497">
        <f>+O18</f>
        <v>10700</v>
      </c>
      <c r="M79" s="500">
        <f t="shared" si="9"/>
        <v>0</v>
      </c>
      <c r="N79" s="477" t="str">
        <f t="shared" si="12"/>
        <v/>
      </c>
      <c r="O79" s="470"/>
      <c r="P79" s="471"/>
      <c r="Q79" s="4"/>
      <c r="R79" s="4"/>
      <c r="S79" s="4"/>
    </row>
    <row r="80" spans="1:19" x14ac:dyDescent="0.25">
      <c r="A80" s="907">
        <v>5231</v>
      </c>
      <c r="B80" s="472" t="s">
        <v>194</v>
      </c>
      <c r="C80" s="476">
        <v>138</v>
      </c>
      <c r="D80" s="476">
        <v>135</v>
      </c>
      <c r="E80" s="476">
        <v>145.6</v>
      </c>
      <c r="K80" s="469">
        <f>+M19</f>
        <v>150</v>
      </c>
      <c r="L80" s="497">
        <f>+O19</f>
        <v>150</v>
      </c>
      <c r="M80" s="500">
        <f t="shared" si="9"/>
        <v>0</v>
      </c>
      <c r="N80" s="477" t="str">
        <f t="shared" si="12"/>
        <v/>
      </c>
      <c r="O80" s="470"/>
      <c r="P80" s="471"/>
      <c r="Q80" s="4"/>
      <c r="R80" s="4"/>
      <c r="S80" s="4"/>
    </row>
    <row r="81" spans="1:19" x14ac:dyDescent="0.25">
      <c r="A81" s="907">
        <v>5232</v>
      </c>
      <c r="B81" s="472" t="s">
        <v>195</v>
      </c>
      <c r="C81" s="476">
        <v>252</v>
      </c>
      <c r="D81" s="476">
        <v>246.16</v>
      </c>
      <c r="E81" s="476">
        <v>233.72</v>
      </c>
      <c r="K81" s="469">
        <f>+M20</f>
        <v>350</v>
      </c>
      <c r="L81" s="497">
        <f>+O20</f>
        <v>350</v>
      </c>
      <c r="M81" s="500">
        <f t="shared" si="9"/>
        <v>0</v>
      </c>
      <c r="N81" s="477" t="str">
        <f t="shared" si="12"/>
        <v/>
      </c>
      <c r="O81" s="470"/>
      <c r="P81" s="471"/>
      <c r="Q81" s="4"/>
      <c r="R81" s="4"/>
      <c r="S81" s="4"/>
    </row>
    <row r="82" spans="1:19" x14ac:dyDescent="0.25">
      <c r="A82" s="907">
        <v>5241</v>
      </c>
      <c r="B82" s="472" t="s">
        <v>1619</v>
      </c>
      <c r="C82" s="476"/>
      <c r="D82" s="476"/>
      <c r="E82" s="476"/>
      <c r="K82" s="469">
        <f t="shared" ref="K82:K83" si="13">+M21</f>
        <v>0</v>
      </c>
      <c r="L82" s="497">
        <f t="shared" ref="L82:L83" si="14">+O21</f>
        <v>4500</v>
      </c>
      <c r="M82" s="500">
        <f t="shared" ref="M82" si="15">+L82-K82</f>
        <v>4500</v>
      </c>
      <c r="N82" s="477">
        <f t="shared" ref="N82" si="16">IF(K82+L82&lt;&gt;0,IF(K82&lt;&gt;0,IF(M82&lt;&gt;0,ROUND((+M82/K82),4),""),1),"")</f>
        <v>1</v>
      </c>
      <c r="O82" s="470" t="s">
        <v>1715</v>
      </c>
      <c r="P82" s="471"/>
      <c r="Q82" s="4"/>
      <c r="R82" s="4"/>
      <c r="S82" s="4"/>
    </row>
    <row r="83" spans="1:19" x14ac:dyDescent="0.25">
      <c r="A83" s="907">
        <v>5242</v>
      </c>
      <c r="B83" s="472" t="s">
        <v>1618</v>
      </c>
      <c r="C83" s="476"/>
      <c r="D83" s="476"/>
      <c r="E83" s="476"/>
      <c r="K83" s="469">
        <f t="shared" si="13"/>
        <v>715</v>
      </c>
      <c r="L83" s="497">
        <f t="shared" si="14"/>
        <v>715</v>
      </c>
      <c r="M83" s="500">
        <f t="shared" si="9"/>
        <v>0</v>
      </c>
      <c r="N83" s="477" t="str">
        <f t="shared" si="12"/>
        <v/>
      </c>
      <c r="O83" s="470"/>
      <c r="P83" s="471"/>
      <c r="Q83" s="4"/>
      <c r="R83" s="4"/>
      <c r="S83" s="4"/>
    </row>
    <row r="84" spans="1:19" x14ac:dyDescent="0.25">
      <c r="A84" s="907">
        <v>5247</v>
      </c>
      <c r="B84" s="472" t="s">
        <v>150</v>
      </c>
      <c r="C84" s="476">
        <v>11095</v>
      </c>
      <c r="D84" s="476">
        <v>12472</v>
      </c>
      <c r="E84" s="476">
        <v>11895.93</v>
      </c>
      <c r="K84" s="469">
        <f t="shared" ref="K84:K99" si="17">+M23</f>
        <v>15500</v>
      </c>
      <c r="L84" s="497">
        <f t="shared" ref="L84:L99" si="18">+O23</f>
        <v>15500</v>
      </c>
      <c r="M84" s="500">
        <f t="shared" si="9"/>
        <v>0</v>
      </c>
      <c r="N84" s="477" t="str">
        <f t="shared" si="12"/>
        <v/>
      </c>
      <c r="O84" s="470"/>
      <c r="P84" s="471"/>
    </row>
    <row r="85" spans="1:19" x14ac:dyDescent="0.25">
      <c r="A85" s="907">
        <v>5248</v>
      </c>
      <c r="B85" s="472" t="s">
        <v>138</v>
      </c>
      <c r="C85" s="476"/>
      <c r="D85" s="476">
        <v>455.76</v>
      </c>
      <c r="E85" s="476"/>
      <c r="K85" s="469">
        <f t="shared" si="17"/>
        <v>700</v>
      </c>
      <c r="L85" s="497">
        <f t="shared" si="18"/>
        <v>700</v>
      </c>
      <c r="M85" s="500">
        <f t="shared" si="9"/>
        <v>0</v>
      </c>
      <c r="N85" s="477" t="str">
        <f t="shared" si="12"/>
        <v/>
      </c>
      <c r="O85" s="470"/>
      <c r="P85" s="471"/>
    </row>
    <row r="86" spans="1:19" x14ac:dyDescent="0.25">
      <c r="A86" s="907">
        <v>5341</v>
      </c>
      <c r="B86" s="472" t="s">
        <v>141</v>
      </c>
      <c r="C86" s="476">
        <v>1126.05</v>
      </c>
      <c r="D86" s="476">
        <v>1122.06</v>
      </c>
      <c r="E86" s="476">
        <v>1125.47</v>
      </c>
      <c r="K86" s="469">
        <f t="shared" si="17"/>
        <v>0</v>
      </c>
      <c r="L86" s="497">
        <f t="shared" si="18"/>
        <v>0</v>
      </c>
      <c r="M86" s="500">
        <f t="shared" si="9"/>
        <v>0</v>
      </c>
      <c r="N86" s="477" t="str">
        <f t="shared" si="12"/>
        <v/>
      </c>
      <c r="O86" s="470"/>
      <c r="P86" s="471"/>
    </row>
    <row r="87" spans="1:19" x14ac:dyDescent="0.25">
      <c r="A87" s="907">
        <v>5341</v>
      </c>
      <c r="B87" s="472" t="s">
        <v>855</v>
      </c>
      <c r="C87" s="476"/>
      <c r="D87" s="476"/>
      <c r="E87" s="476"/>
      <c r="K87" s="469">
        <f t="shared" si="17"/>
        <v>2460</v>
      </c>
      <c r="L87" s="497">
        <f t="shared" si="18"/>
        <v>4860</v>
      </c>
      <c r="M87" s="500">
        <f t="shared" ref="M87" si="19">+L87-K87</f>
        <v>2400</v>
      </c>
      <c r="N87" s="477">
        <f t="shared" si="12"/>
        <v>0.97560000000000002</v>
      </c>
      <c r="O87" s="470" t="s">
        <v>1716</v>
      </c>
      <c r="P87" s="471"/>
    </row>
    <row r="88" spans="1:19" x14ac:dyDescent="0.25">
      <c r="A88" s="907">
        <v>5344</v>
      </c>
      <c r="B88" s="472" t="s">
        <v>142</v>
      </c>
      <c r="C88" s="476">
        <v>179.19</v>
      </c>
      <c r="D88" s="476">
        <v>88.46</v>
      </c>
      <c r="E88" s="476">
        <v>176.99</v>
      </c>
      <c r="K88" s="469">
        <f t="shared" si="17"/>
        <v>200</v>
      </c>
      <c r="L88" s="497">
        <f t="shared" si="18"/>
        <v>500</v>
      </c>
      <c r="M88" s="500">
        <f t="shared" si="9"/>
        <v>300</v>
      </c>
      <c r="N88" s="477">
        <f t="shared" si="12"/>
        <v>1.5</v>
      </c>
      <c r="O88" s="470" t="s">
        <v>1717</v>
      </c>
      <c r="P88" s="471"/>
    </row>
    <row r="89" spans="1:19" x14ac:dyDescent="0.25">
      <c r="A89" s="907">
        <v>5345</v>
      </c>
      <c r="B89" s="472" t="s">
        <v>143</v>
      </c>
      <c r="C89" s="476">
        <v>122.62</v>
      </c>
      <c r="D89" s="476">
        <v>321.16000000000003</v>
      </c>
      <c r="E89" s="476"/>
      <c r="K89" s="469">
        <f t="shared" si="17"/>
        <v>200</v>
      </c>
      <c r="L89" s="497">
        <f t="shared" si="18"/>
        <v>500</v>
      </c>
      <c r="M89" s="500">
        <f t="shared" si="9"/>
        <v>300</v>
      </c>
      <c r="N89" s="477">
        <f t="shared" si="12"/>
        <v>1.5</v>
      </c>
      <c r="O89" s="470" t="s">
        <v>1717</v>
      </c>
      <c r="P89" s="471"/>
    </row>
    <row r="90" spans="1:19" x14ac:dyDescent="0.25">
      <c r="A90" s="907">
        <v>5350</v>
      </c>
      <c r="B90" s="472" t="s">
        <v>223</v>
      </c>
      <c r="C90" s="484">
        <v>1000</v>
      </c>
      <c r="D90" s="484">
        <v>6050</v>
      </c>
      <c r="E90" s="484">
        <v>5055</v>
      </c>
      <c r="K90" s="469">
        <f t="shared" si="17"/>
        <v>6000</v>
      </c>
      <c r="L90" s="497">
        <f t="shared" si="18"/>
        <v>7500</v>
      </c>
      <c r="M90" s="500">
        <f t="shared" si="9"/>
        <v>1500</v>
      </c>
      <c r="N90" s="477">
        <f t="shared" si="12"/>
        <v>0.25</v>
      </c>
      <c r="O90" s="470" t="s">
        <v>1718</v>
      </c>
      <c r="P90" s="471"/>
    </row>
    <row r="91" spans="1:19" x14ac:dyDescent="0.25">
      <c r="A91" s="907">
        <v>5360</v>
      </c>
      <c r="B91" s="472" t="s">
        <v>1231</v>
      </c>
      <c r="C91" s="484"/>
      <c r="D91" s="484"/>
      <c r="E91" s="484"/>
      <c r="K91" s="469">
        <f t="shared" si="17"/>
        <v>1775</v>
      </c>
      <c r="L91" s="497">
        <f t="shared" si="18"/>
        <v>1775</v>
      </c>
      <c r="M91" s="500">
        <f t="shared" si="9"/>
        <v>0</v>
      </c>
      <c r="N91" s="477" t="str">
        <f t="shared" si="12"/>
        <v/>
      </c>
      <c r="O91" s="470"/>
      <c r="P91" s="471"/>
    </row>
    <row r="92" spans="1:19" x14ac:dyDescent="0.25">
      <c r="A92" s="907">
        <v>5380</v>
      </c>
      <c r="B92" s="472" t="s">
        <v>224</v>
      </c>
      <c r="C92" s="476">
        <v>100</v>
      </c>
      <c r="D92" s="476">
        <v>106</v>
      </c>
      <c r="E92" s="476">
        <v>112</v>
      </c>
      <c r="K92" s="469">
        <f t="shared" si="17"/>
        <v>116</v>
      </c>
      <c r="L92" s="497">
        <f t="shared" si="18"/>
        <v>116</v>
      </c>
      <c r="M92" s="500">
        <f t="shared" si="9"/>
        <v>0</v>
      </c>
      <c r="N92" s="477" t="str">
        <f t="shared" si="12"/>
        <v/>
      </c>
      <c r="O92" s="470"/>
      <c r="P92" s="471"/>
    </row>
    <row r="93" spans="1:19" x14ac:dyDescent="0.25">
      <c r="A93" s="907">
        <v>5420</v>
      </c>
      <c r="B93" s="472" t="s">
        <v>144</v>
      </c>
      <c r="C93" s="468">
        <v>3279.66</v>
      </c>
      <c r="D93" s="468">
        <v>6687.37</v>
      </c>
      <c r="E93" s="468">
        <v>3415.71</v>
      </c>
      <c r="K93" s="469">
        <f t="shared" si="17"/>
        <v>6000</v>
      </c>
      <c r="L93" s="497">
        <f t="shared" si="18"/>
        <v>7000</v>
      </c>
      <c r="M93" s="500">
        <f t="shared" si="9"/>
        <v>1000</v>
      </c>
      <c r="N93" s="477">
        <f t="shared" si="12"/>
        <v>0.16669999999999999</v>
      </c>
      <c r="O93" s="470" t="s">
        <v>1719</v>
      </c>
      <c r="P93" s="471"/>
    </row>
    <row r="94" spans="1:19" x14ac:dyDescent="0.25">
      <c r="A94" s="907">
        <v>5580</v>
      </c>
      <c r="B94" s="472" t="s">
        <v>145</v>
      </c>
      <c r="C94" s="476">
        <v>1205.0999999999999</v>
      </c>
      <c r="D94" s="476">
        <v>1212.29</v>
      </c>
      <c r="E94" s="476">
        <v>1200</v>
      </c>
      <c r="K94" s="469">
        <f t="shared" si="17"/>
        <v>1600</v>
      </c>
      <c r="L94" s="497">
        <f t="shared" si="18"/>
        <v>1600</v>
      </c>
      <c r="M94" s="500">
        <f t="shared" si="9"/>
        <v>0</v>
      </c>
      <c r="N94" s="477" t="str">
        <f t="shared" si="12"/>
        <v/>
      </c>
      <c r="O94" s="470"/>
      <c r="P94" s="471"/>
    </row>
    <row r="95" spans="1:19" x14ac:dyDescent="0.25">
      <c r="A95" s="907">
        <v>5581</v>
      </c>
      <c r="B95" s="472" t="s">
        <v>146</v>
      </c>
      <c r="C95" s="476">
        <v>31287.93</v>
      </c>
      <c r="D95" s="476">
        <v>35475.230000000003</v>
      </c>
      <c r="E95" s="476">
        <v>37931.71</v>
      </c>
      <c r="K95" s="469">
        <f t="shared" si="17"/>
        <v>48800</v>
      </c>
      <c r="L95" s="497">
        <f t="shared" si="18"/>
        <v>49000</v>
      </c>
      <c r="M95" s="500">
        <f t="shared" si="9"/>
        <v>200</v>
      </c>
      <c r="N95" s="477">
        <f t="shared" si="12"/>
        <v>4.1000000000000003E-3</v>
      </c>
      <c r="O95" s="470"/>
      <c r="P95" s="471"/>
    </row>
    <row r="96" spans="1:19" x14ac:dyDescent="0.25">
      <c r="A96" s="907">
        <v>5587</v>
      </c>
      <c r="B96" s="472" t="s">
        <v>225</v>
      </c>
      <c r="C96" s="476">
        <v>26171.85</v>
      </c>
      <c r="D96" s="476">
        <v>26921.83</v>
      </c>
      <c r="E96" s="476">
        <v>29068.29</v>
      </c>
      <c r="K96" s="469">
        <f t="shared" si="17"/>
        <v>37800</v>
      </c>
      <c r="L96" s="497">
        <f t="shared" si="18"/>
        <v>38000</v>
      </c>
      <c r="M96" s="500">
        <f t="shared" si="9"/>
        <v>200</v>
      </c>
      <c r="N96" s="477">
        <f t="shared" si="12"/>
        <v>5.3E-3</v>
      </c>
      <c r="O96" s="470"/>
      <c r="P96" s="471"/>
    </row>
    <row r="97" spans="1:16" x14ac:dyDescent="0.25">
      <c r="A97" s="907">
        <v>5590</v>
      </c>
      <c r="B97" s="492" t="s">
        <v>559</v>
      </c>
      <c r="C97" s="476">
        <v>839.2</v>
      </c>
      <c r="D97" s="476">
        <v>424.94</v>
      </c>
      <c r="E97" s="476">
        <v>64.989999999999995</v>
      </c>
      <c r="K97" s="469">
        <f t="shared" si="17"/>
        <v>1000</v>
      </c>
      <c r="L97" s="497">
        <f t="shared" si="18"/>
        <v>1000</v>
      </c>
      <c r="M97" s="500">
        <f t="shared" si="9"/>
        <v>0</v>
      </c>
      <c r="N97" s="477" t="str">
        <f t="shared" si="12"/>
        <v/>
      </c>
      <c r="O97" s="470"/>
      <c r="P97" s="471"/>
    </row>
    <row r="98" spans="1:16" x14ac:dyDescent="0.25">
      <c r="A98" s="907">
        <v>5710</v>
      </c>
      <c r="B98" s="472" t="s">
        <v>535</v>
      </c>
      <c r="C98" s="468">
        <v>1628.73</v>
      </c>
      <c r="D98" s="468">
        <v>1042.58</v>
      </c>
      <c r="E98" s="468">
        <v>790.05</v>
      </c>
      <c r="K98" s="469">
        <f t="shared" si="17"/>
        <v>1400</v>
      </c>
      <c r="L98" s="497">
        <f t="shared" si="18"/>
        <v>1400</v>
      </c>
      <c r="M98" s="500">
        <f t="shared" si="9"/>
        <v>0</v>
      </c>
      <c r="N98" s="477" t="str">
        <f t="shared" si="12"/>
        <v/>
      </c>
      <c r="O98" s="470"/>
      <c r="P98" s="471"/>
    </row>
    <row r="99" spans="1:16" ht="13.8" thickBot="1" x14ac:dyDescent="0.3">
      <c r="A99" s="907">
        <v>5730</v>
      </c>
      <c r="B99" s="472" t="s">
        <v>147</v>
      </c>
      <c r="C99" s="474"/>
      <c r="D99" s="474">
        <v>40</v>
      </c>
      <c r="E99" s="474"/>
      <c r="K99" s="469">
        <f t="shared" si="17"/>
        <v>100</v>
      </c>
      <c r="L99" s="497">
        <f t="shared" si="18"/>
        <v>100</v>
      </c>
      <c r="M99" s="500">
        <f t="shared" si="9"/>
        <v>0</v>
      </c>
      <c r="N99" s="477" t="str">
        <f t="shared" si="12"/>
        <v/>
      </c>
      <c r="O99" s="470"/>
      <c r="P99" s="471"/>
    </row>
    <row r="100" spans="1:16" x14ac:dyDescent="0.25">
      <c r="C100" s="114"/>
    </row>
    <row r="101" spans="1:16" x14ac:dyDescent="0.25">
      <c r="B101" s="4" t="s">
        <v>1363</v>
      </c>
      <c r="C101" s="23"/>
      <c r="D101" s="23"/>
      <c r="E101" s="23"/>
      <c r="F101" s="23"/>
      <c r="G101" s="23"/>
      <c r="I101" s="742">
        <f>SUM(K72:K99)</f>
        <v>437744</v>
      </c>
      <c r="J101" s="742">
        <f>SUM(L72:L99)</f>
        <v>452485</v>
      </c>
      <c r="K101" s="202">
        <f>+J101-I101</f>
        <v>14741</v>
      </c>
      <c r="L101" s="202"/>
      <c r="M101" s="202"/>
      <c r="N101" s="743">
        <f>IF(I101+J101&lt;&gt;0,IF(I101&lt;&gt;0,IF(K101&lt;&gt;0,ROUND((+K101/I101),4),""),1),"")</f>
        <v>3.3700000000000001E-2</v>
      </c>
    </row>
    <row r="102" spans="1:16" x14ac:dyDescent="0.25">
      <c r="C102" s="114"/>
    </row>
    <row r="103" spans="1:16" x14ac:dyDescent="0.25">
      <c r="C103" s="114"/>
    </row>
    <row r="104" spans="1:16" x14ac:dyDescent="0.25">
      <c r="C104" s="114"/>
    </row>
    <row r="105" spans="1:16" x14ac:dyDescent="0.25">
      <c r="C105" s="114"/>
    </row>
    <row r="106" spans="1:16" x14ac:dyDescent="0.25">
      <c r="C106" s="114"/>
    </row>
    <row r="107" spans="1:16" x14ac:dyDescent="0.25">
      <c r="C107" s="114"/>
    </row>
    <row r="108" spans="1:16" x14ac:dyDescent="0.25">
      <c r="C108" s="114"/>
    </row>
    <row r="109" spans="1:16" x14ac:dyDescent="0.25">
      <c r="C109" s="114"/>
    </row>
    <row r="110" spans="1:16" x14ac:dyDescent="0.25">
      <c r="C110" s="114"/>
    </row>
    <row r="111" spans="1:16" x14ac:dyDescent="0.25">
      <c r="C111" s="114"/>
    </row>
    <row r="112" spans="1:16" x14ac:dyDescent="0.25">
      <c r="C112" s="114"/>
    </row>
    <row r="113" spans="3:3" x14ac:dyDescent="0.25">
      <c r="C113" s="114"/>
    </row>
    <row r="114" spans="3:3" x14ac:dyDescent="0.25">
      <c r="C114" s="114"/>
    </row>
    <row r="115" spans="3:3" x14ac:dyDescent="0.25">
      <c r="C115" s="114"/>
    </row>
    <row r="116" spans="3:3" x14ac:dyDescent="0.25">
      <c r="C116" s="114"/>
    </row>
    <row r="117" spans="3:3" x14ac:dyDescent="0.25">
      <c r="C117" s="114"/>
    </row>
    <row r="118" spans="3:3" x14ac:dyDescent="0.25">
      <c r="C118" s="114"/>
    </row>
    <row r="119" spans="3:3" x14ac:dyDescent="0.25">
      <c r="C119" s="114"/>
    </row>
    <row r="120" spans="3:3" x14ac:dyDescent="0.25">
      <c r="C120" s="114"/>
    </row>
    <row r="121" spans="3:3" x14ac:dyDescent="0.25">
      <c r="C121" s="114"/>
    </row>
    <row r="122" spans="3:3" x14ac:dyDescent="0.25">
      <c r="C122" s="114"/>
    </row>
    <row r="123" spans="3:3" x14ac:dyDescent="0.25">
      <c r="C123" s="114"/>
    </row>
    <row r="124" spans="3:3" x14ac:dyDescent="0.25">
      <c r="C124" s="114"/>
    </row>
    <row r="125" spans="3:3" x14ac:dyDescent="0.25">
      <c r="C125" s="114"/>
    </row>
    <row r="126" spans="3:3" x14ac:dyDescent="0.25">
      <c r="C126" s="114"/>
    </row>
    <row r="127" spans="3:3" x14ac:dyDescent="0.25">
      <c r="C127" s="114"/>
    </row>
    <row r="128" spans="3:3" x14ac:dyDescent="0.25">
      <c r="C128" s="114"/>
    </row>
    <row r="129" spans="3:3" x14ac:dyDescent="0.25">
      <c r="C129" s="114"/>
    </row>
    <row r="130" spans="3:3" x14ac:dyDescent="0.25">
      <c r="C130" s="114"/>
    </row>
    <row r="131" spans="3:3" x14ac:dyDescent="0.25">
      <c r="C131" s="114"/>
    </row>
    <row r="132" spans="3:3" x14ac:dyDescent="0.25">
      <c r="C132" s="114"/>
    </row>
    <row r="133" spans="3:3" x14ac:dyDescent="0.25">
      <c r="C133" s="114"/>
    </row>
  </sheetData>
  <phoneticPr fontId="0" type="noConversion"/>
  <hyperlinks>
    <hyperlink ref="A1" location="'Working Budget with funding det'!A1" display="Main " xr:uid="{00000000-0004-0000-2D00-000000000000}"/>
    <hyperlink ref="B1" location="'Table of Contents'!A1" display="TOC" xr:uid="{00000000-0004-0000-2D00-000001000000}"/>
  </hyperlinks>
  <pageMargins left="0.75" right="0.75" top="1" bottom="0" header="0.5" footer="0.5"/>
  <pageSetup scale="78" fitToHeight="2" orientation="landscape" r:id="rId1"/>
  <headerFooter alignWithMargins="0">
    <oddFooter>&amp;L&amp;D     &amp;T&amp;C&amp;P&amp;R&amp;A   &amp;P</oddFooter>
  </headerFooter>
  <rowBreaks count="1" manualBreakCount="1">
    <brk id="47" max="16"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92D050"/>
    <pageSetUpPr fitToPage="1"/>
  </sheetPr>
  <dimension ref="A1:U170"/>
  <sheetViews>
    <sheetView topLeftCell="A21" workbookViewId="0">
      <selection activeCell="A38" sqref="A38:A39"/>
    </sheetView>
  </sheetViews>
  <sheetFormatPr defaultRowHeight="13.2" x14ac:dyDescent="0.25"/>
  <cols>
    <col min="1" max="1" width="10.6640625" style="885" customWidth="1"/>
    <col min="2" max="2" width="36.6640625" customWidth="1"/>
    <col min="3" max="3" width="14.44140625" style="1" hidden="1" customWidth="1"/>
    <col min="4" max="10" width="14.44140625" style="114" hidden="1" customWidth="1"/>
    <col min="11" max="13" width="14.44140625" style="114" customWidth="1"/>
    <col min="14" max="14" width="14.44140625" customWidth="1"/>
    <col min="15" max="17" width="14.44140625" style="1" customWidth="1"/>
    <col min="18" max="20" width="14.44140625" customWidth="1"/>
    <col min="21" max="21" width="14.6640625" style="2" customWidth="1"/>
  </cols>
  <sheetData>
    <row r="1" spans="1:21" x14ac:dyDescent="0.25">
      <c r="A1" s="874" t="s">
        <v>1021</v>
      </c>
      <c r="B1" s="371" t="s">
        <v>1348</v>
      </c>
      <c r="Q1"/>
    </row>
    <row r="2" spans="1:21" ht="13.8" x14ac:dyDescent="0.25">
      <c r="A2" s="875" t="s">
        <v>264</v>
      </c>
      <c r="B2" s="45"/>
      <c r="E2" s="141"/>
      <c r="I2" s="141" t="s">
        <v>257</v>
      </c>
      <c r="J2" s="141"/>
      <c r="K2" s="141"/>
      <c r="L2" s="141"/>
      <c r="M2" s="141"/>
      <c r="N2" s="61" t="s">
        <v>371</v>
      </c>
      <c r="P2" s="46" t="s">
        <v>503</v>
      </c>
    </row>
    <row r="3" spans="1:21" ht="13.8" thickBot="1" x14ac:dyDescent="0.3">
      <c r="A3" s="876"/>
      <c r="B3" s="4"/>
      <c r="C3" s="23"/>
      <c r="D3" s="23"/>
      <c r="E3" s="23"/>
      <c r="F3" s="23"/>
      <c r="G3" s="23"/>
      <c r="H3" s="23"/>
      <c r="I3" s="23"/>
      <c r="J3" s="23"/>
      <c r="K3" s="23"/>
      <c r="L3" s="23"/>
      <c r="M3" s="23"/>
      <c r="N3" s="4"/>
      <c r="O3" s="23"/>
      <c r="P3" s="4"/>
      <c r="Q3" s="4"/>
      <c r="T3" s="4"/>
    </row>
    <row r="4" spans="1:21" ht="13.8" thickTop="1" x14ac:dyDescent="0.25">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t="s">
        <v>910</v>
      </c>
    </row>
    <row r="5" spans="1:21" x14ac:dyDescent="0.25">
      <c r="A5" s="878"/>
      <c r="B5" s="209"/>
      <c r="C5" s="127"/>
      <c r="D5" s="87"/>
      <c r="E5" s="113"/>
      <c r="F5" s="87"/>
      <c r="G5" s="87"/>
      <c r="H5" s="113"/>
      <c r="I5" s="396"/>
      <c r="J5" s="396"/>
      <c r="K5" s="396"/>
      <c r="L5" s="396"/>
      <c r="M5" s="396"/>
      <c r="N5" s="113" t="s">
        <v>515</v>
      </c>
      <c r="O5" s="88" t="s">
        <v>7</v>
      </c>
      <c r="P5" s="203" t="s">
        <v>782</v>
      </c>
    </row>
    <row r="6" spans="1:21" x14ac:dyDescent="0.25">
      <c r="A6" s="878"/>
      <c r="B6" s="209"/>
      <c r="C6" s="127"/>
      <c r="D6" s="127"/>
      <c r="E6" s="127"/>
      <c r="F6" s="87"/>
      <c r="G6" s="127"/>
      <c r="H6" s="127"/>
      <c r="I6" s="337"/>
      <c r="J6" s="337"/>
      <c r="K6" s="337"/>
      <c r="L6" s="337"/>
      <c r="M6" s="337"/>
      <c r="N6" s="127"/>
      <c r="O6" s="88" t="s">
        <v>8</v>
      </c>
      <c r="P6" s="47" t="s">
        <v>543</v>
      </c>
    </row>
    <row r="7" spans="1:21"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44561</v>
      </c>
      <c r="O7" s="9" t="s">
        <v>9</v>
      </c>
      <c r="P7" s="9" t="s">
        <v>546</v>
      </c>
    </row>
    <row r="8" spans="1:21" ht="13.8" thickTop="1" x14ac:dyDescent="0.25">
      <c r="A8" s="908"/>
      <c r="B8" s="210"/>
      <c r="C8" s="132"/>
      <c r="D8" s="18"/>
      <c r="E8" s="18"/>
      <c r="F8" s="18"/>
      <c r="G8" s="18"/>
      <c r="H8" s="18"/>
      <c r="I8" s="19"/>
      <c r="J8" s="19"/>
      <c r="K8" s="19"/>
      <c r="L8" s="19"/>
      <c r="M8" s="19"/>
      <c r="N8" s="18"/>
      <c r="O8" s="19"/>
      <c r="P8" s="19"/>
    </row>
    <row r="9" spans="1:21" x14ac:dyDescent="0.25">
      <c r="A9" s="881">
        <v>5111</v>
      </c>
      <c r="B9" s="110" t="s">
        <v>571</v>
      </c>
      <c r="C9" s="130">
        <v>56733.95</v>
      </c>
      <c r="D9" s="13">
        <v>61829</v>
      </c>
      <c r="E9" s="13">
        <v>63697</v>
      </c>
      <c r="F9" s="13">
        <v>65620</v>
      </c>
      <c r="G9" s="13">
        <v>67602</v>
      </c>
      <c r="H9" s="13">
        <v>69988</v>
      </c>
      <c r="I9" s="13">
        <v>71388</v>
      </c>
      <c r="J9" s="13">
        <v>73905</v>
      </c>
      <c r="K9" s="14">
        <v>75014</v>
      </c>
      <c r="L9" s="13">
        <v>75014</v>
      </c>
      <c r="M9" s="14">
        <v>76139</v>
      </c>
      <c r="N9" s="13">
        <v>37048.44</v>
      </c>
      <c r="O9" s="14">
        <f>ROUND(+N38,0)</f>
        <v>76139</v>
      </c>
      <c r="P9" s="14"/>
    </row>
    <row r="10" spans="1:21" x14ac:dyDescent="0.25">
      <c r="A10" s="881">
        <v>5113</v>
      </c>
      <c r="B10" s="63" t="s">
        <v>1627</v>
      </c>
      <c r="C10" s="130">
        <v>14204.61</v>
      </c>
      <c r="D10" s="13">
        <v>16756.2</v>
      </c>
      <c r="E10" s="13">
        <v>17207.96</v>
      </c>
      <c r="F10" s="13">
        <v>18025.599999999999</v>
      </c>
      <c r="G10" s="13">
        <v>18583.2</v>
      </c>
      <c r="H10" s="13">
        <v>19260.8</v>
      </c>
      <c r="I10" s="13">
        <v>20144.8</v>
      </c>
      <c r="J10" s="13">
        <v>21112.13</v>
      </c>
      <c r="K10" s="14">
        <v>21580</v>
      </c>
      <c r="L10" s="13">
        <v>21663</v>
      </c>
      <c r="M10" s="14">
        <v>22360</v>
      </c>
      <c r="N10" s="13">
        <v>10922</v>
      </c>
      <c r="O10" s="14">
        <f>ROUND(+N39,0)</f>
        <v>22797</v>
      </c>
      <c r="P10" s="14"/>
    </row>
    <row r="11" spans="1:21" x14ac:dyDescent="0.25">
      <c r="A11" s="881">
        <v>5124</v>
      </c>
      <c r="B11" s="63" t="s">
        <v>185</v>
      </c>
      <c r="C11" s="130">
        <v>18920.04</v>
      </c>
      <c r="D11" s="13">
        <v>18869.12</v>
      </c>
      <c r="E11" s="13">
        <v>19350.96</v>
      </c>
      <c r="F11" s="13">
        <v>20507.150000000001</v>
      </c>
      <c r="G11" s="13">
        <v>22617.14</v>
      </c>
      <c r="H11" s="13">
        <v>24574.15</v>
      </c>
      <c r="I11" s="13">
        <v>25060.87</v>
      </c>
      <c r="J11" s="13">
        <v>27643.24</v>
      </c>
      <c r="K11" s="14">
        <v>29650</v>
      </c>
      <c r="L11" s="13">
        <v>9181.42</v>
      </c>
      <c r="M11" s="14">
        <v>31450</v>
      </c>
      <c r="N11" s="13">
        <v>29557.94</v>
      </c>
      <c r="O11" s="14">
        <f>-5700+38650</f>
        <v>32950</v>
      </c>
      <c r="P11" s="14"/>
    </row>
    <row r="12" spans="1:21" ht="13.8" thickBot="1" x14ac:dyDescent="0.3">
      <c r="A12" s="881">
        <v>5144</v>
      </c>
      <c r="B12" s="63" t="s">
        <v>157</v>
      </c>
      <c r="C12" s="131">
        <v>150</v>
      </c>
      <c r="D12" s="15">
        <v>150</v>
      </c>
      <c r="E12" s="15">
        <v>150</v>
      </c>
      <c r="F12" s="15">
        <v>150</v>
      </c>
      <c r="G12" s="15">
        <v>800</v>
      </c>
      <c r="H12" s="15">
        <v>1100</v>
      </c>
      <c r="I12" s="15">
        <v>1100</v>
      </c>
      <c r="J12" s="15">
        <v>1100</v>
      </c>
      <c r="K12" s="16">
        <v>1100</v>
      </c>
      <c r="L12" s="15">
        <v>1100</v>
      </c>
      <c r="M12" s="16">
        <v>1200</v>
      </c>
      <c r="N12" s="15">
        <v>1200</v>
      </c>
      <c r="O12" s="16">
        <f>SUM(Q38:Q39)</f>
        <v>1400</v>
      </c>
      <c r="P12" s="16"/>
    </row>
    <row r="13" spans="1:21" x14ac:dyDescent="0.25">
      <c r="A13" s="881"/>
      <c r="B13" s="64" t="s">
        <v>130</v>
      </c>
      <c r="C13" s="132">
        <f t="shared" ref="C13:N13" si="0">SUM(C9:C12)</f>
        <v>90008.6</v>
      </c>
      <c r="D13" s="18">
        <f t="shared" si="0"/>
        <v>97604.319999999992</v>
      </c>
      <c r="E13" s="18">
        <f t="shared" si="0"/>
        <v>100405.91999999998</v>
      </c>
      <c r="F13" s="18">
        <f>SUM(F9:F12)</f>
        <v>104302.75</v>
      </c>
      <c r="G13" s="18">
        <f>SUM(G9:G12)</f>
        <v>109602.34</v>
      </c>
      <c r="H13" s="18">
        <f>SUM(H9:H12)</f>
        <v>114922.95000000001</v>
      </c>
      <c r="I13" s="18">
        <f t="shared" si="0"/>
        <v>117693.67</v>
      </c>
      <c r="J13" s="18">
        <f t="shared" si="0"/>
        <v>123760.37000000001</v>
      </c>
      <c r="K13" s="19">
        <f>SUM(K9:K12)</f>
        <v>127344</v>
      </c>
      <c r="L13" s="18">
        <f t="shared" ref="L13:M13" si="1">SUM(L9:L12)</f>
        <v>106958.42</v>
      </c>
      <c r="M13" s="19">
        <f t="shared" si="1"/>
        <v>131149</v>
      </c>
      <c r="N13" s="18">
        <f t="shared" si="0"/>
        <v>78728.38</v>
      </c>
      <c r="O13" s="19">
        <f>SUM(O9:O12)</f>
        <v>133286</v>
      </c>
      <c r="P13" s="19">
        <f>SUM(P9:P12)</f>
        <v>0</v>
      </c>
    </row>
    <row r="14" spans="1:21" x14ac:dyDescent="0.25">
      <c r="A14" s="881"/>
      <c r="B14" s="63"/>
      <c r="C14" s="130"/>
      <c r="D14" s="13"/>
      <c r="E14" s="13"/>
      <c r="F14" s="13"/>
      <c r="G14" s="13"/>
      <c r="H14" s="13"/>
      <c r="I14" s="13"/>
      <c r="J14" s="13"/>
      <c r="K14" s="14"/>
      <c r="L14" s="13"/>
      <c r="M14" s="14"/>
      <c r="N14" s="13"/>
      <c r="O14" s="14"/>
      <c r="P14" s="14"/>
    </row>
    <row r="15" spans="1:21" x14ac:dyDescent="0.25">
      <c r="A15" s="881">
        <v>5242</v>
      </c>
      <c r="B15" s="63" t="s">
        <v>853</v>
      </c>
      <c r="C15" s="130"/>
      <c r="D15" s="13"/>
      <c r="E15" s="13"/>
      <c r="F15" s="13">
        <v>6528.96</v>
      </c>
      <c r="G15" s="13">
        <v>5808.28</v>
      </c>
      <c r="H15" s="13">
        <v>9579.82</v>
      </c>
      <c r="I15" s="144">
        <v>8673.4599999999991</v>
      </c>
      <c r="J15" s="144">
        <v>14061.57</v>
      </c>
      <c r="K15" s="122">
        <f>3000+9095</f>
        <v>12095</v>
      </c>
      <c r="L15" s="144">
        <v>28152.67</v>
      </c>
      <c r="M15" s="122">
        <f>3000+9095</f>
        <v>12095</v>
      </c>
      <c r="N15" s="13">
        <v>12782.06</v>
      </c>
      <c r="O15" s="122">
        <f>3000+9095</f>
        <v>12095</v>
      </c>
      <c r="P15" s="122"/>
      <c r="U15"/>
    </row>
    <row r="16" spans="1:21" hidden="1" x14ac:dyDescent="0.25">
      <c r="A16" s="881">
        <v>5275</v>
      </c>
      <c r="B16" s="63" t="s">
        <v>126</v>
      </c>
      <c r="C16" s="130">
        <v>3117</v>
      </c>
      <c r="D16" s="13">
        <v>3228</v>
      </c>
      <c r="E16" s="13">
        <v>3228</v>
      </c>
      <c r="F16" s="13"/>
      <c r="G16" s="13"/>
      <c r="H16" s="13"/>
      <c r="I16" s="144"/>
      <c r="J16" s="144"/>
      <c r="K16" s="122"/>
      <c r="L16" s="144"/>
      <c r="M16" s="122"/>
      <c r="N16" s="13"/>
      <c r="O16" s="122"/>
      <c r="P16" s="122"/>
      <c r="U16"/>
    </row>
    <row r="17" spans="1:21" hidden="1" x14ac:dyDescent="0.25">
      <c r="A17" s="881"/>
      <c r="B17" s="63" t="s">
        <v>854</v>
      </c>
      <c r="C17" s="250"/>
      <c r="D17" s="37"/>
      <c r="E17" s="37"/>
      <c r="F17" s="37"/>
      <c r="G17" s="37"/>
      <c r="H17" s="37"/>
      <c r="I17" s="233"/>
      <c r="J17" s="233"/>
      <c r="K17" s="125"/>
      <c r="L17" s="233"/>
      <c r="M17" s="125"/>
      <c r="N17" s="37"/>
      <c r="O17" s="125"/>
      <c r="P17" s="125"/>
      <c r="U17"/>
    </row>
    <row r="18" spans="1:21" x14ac:dyDescent="0.25">
      <c r="A18" s="881">
        <v>5248</v>
      </c>
      <c r="B18" s="63" t="s">
        <v>861</v>
      </c>
      <c r="C18" s="250"/>
      <c r="D18" s="37"/>
      <c r="E18" s="37"/>
      <c r="F18" s="37">
        <v>1332.34</v>
      </c>
      <c r="G18" s="37">
        <v>1321.17</v>
      </c>
      <c r="H18" s="37">
        <v>1386.9</v>
      </c>
      <c r="I18" s="233">
        <v>1134.21</v>
      </c>
      <c r="J18" s="233">
        <v>1434.1</v>
      </c>
      <c r="K18" s="125">
        <v>1400</v>
      </c>
      <c r="L18" s="233">
        <v>1487.65</v>
      </c>
      <c r="M18" s="125">
        <v>1400</v>
      </c>
      <c r="N18" s="37">
        <v>769.82</v>
      </c>
      <c r="O18" s="125">
        <v>1400</v>
      </c>
      <c r="P18" s="125"/>
      <c r="U18"/>
    </row>
    <row r="19" spans="1:21" x14ac:dyDescent="0.25">
      <c r="A19" s="881">
        <v>5314</v>
      </c>
      <c r="B19" s="12" t="s">
        <v>139</v>
      </c>
      <c r="C19" s="37"/>
      <c r="D19" s="37"/>
      <c r="E19" s="37"/>
      <c r="F19" s="37">
        <v>225</v>
      </c>
      <c r="G19" s="37">
        <v>440</v>
      </c>
      <c r="H19" s="37">
        <v>225</v>
      </c>
      <c r="I19" s="233">
        <v>402.91</v>
      </c>
      <c r="J19" s="233">
        <v>175</v>
      </c>
      <c r="K19" s="125">
        <v>700</v>
      </c>
      <c r="L19" s="233">
        <v>729</v>
      </c>
      <c r="M19" s="125">
        <v>700</v>
      </c>
      <c r="N19" s="37">
        <v>261</v>
      </c>
      <c r="O19" s="125">
        <v>700</v>
      </c>
      <c r="P19" s="125"/>
      <c r="U19"/>
    </row>
    <row r="20" spans="1:21" hidden="1" x14ac:dyDescent="0.25">
      <c r="A20" s="881">
        <v>5341</v>
      </c>
      <c r="B20" s="12" t="s">
        <v>141</v>
      </c>
      <c r="C20" s="13">
        <v>414.26</v>
      </c>
      <c r="D20" s="13">
        <v>403.42</v>
      </c>
      <c r="E20" s="13">
        <v>408.49</v>
      </c>
      <c r="F20" s="13">
        <v>423.79</v>
      </c>
      <c r="G20" s="13">
        <v>435.74</v>
      </c>
      <c r="H20" s="13"/>
      <c r="I20" s="144">
        <v>0</v>
      </c>
      <c r="J20" s="144"/>
      <c r="K20" s="122">
        <v>0</v>
      </c>
      <c r="L20" s="144"/>
      <c r="M20" s="122">
        <v>0</v>
      </c>
      <c r="N20" s="13"/>
      <c r="O20" s="122">
        <v>0</v>
      </c>
      <c r="P20" s="122"/>
      <c r="U20"/>
    </row>
    <row r="21" spans="1:21" x14ac:dyDescent="0.25">
      <c r="A21" s="881">
        <v>5342</v>
      </c>
      <c r="B21" s="12" t="s">
        <v>855</v>
      </c>
      <c r="C21" s="13"/>
      <c r="D21" s="13"/>
      <c r="E21" s="13"/>
      <c r="F21" s="13">
        <v>1198.2</v>
      </c>
      <c r="G21" s="13">
        <v>1198.2</v>
      </c>
      <c r="H21" s="13">
        <v>1198.2</v>
      </c>
      <c r="I21" s="144">
        <v>1226.2</v>
      </c>
      <c r="J21" s="144">
        <v>1291.2</v>
      </c>
      <c r="K21" s="122">
        <v>1200</v>
      </c>
      <c r="L21" s="144">
        <v>1700.56</v>
      </c>
      <c r="M21" s="122">
        <v>1800</v>
      </c>
      <c r="N21" s="13">
        <v>768.66</v>
      </c>
      <c r="O21" s="122">
        <v>1800</v>
      </c>
      <c r="P21" s="122"/>
      <c r="U21"/>
    </row>
    <row r="22" spans="1:21" hidden="1" x14ac:dyDescent="0.25">
      <c r="A22" s="881">
        <v>5500</v>
      </c>
      <c r="B22" s="12" t="s">
        <v>865</v>
      </c>
      <c r="C22" s="37"/>
      <c r="D22" s="37"/>
      <c r="E22" s="37"/>
      <c r="F22" s="37">
        <v>1176</v>
      </c>
      <c r="G22" s="37">
        <v>1625</v>
      </c>
      <c r="H22" s="37"/>
      <c r="I22" s="233">
        <v>0</v>
      </c>
      <c r="J22" s="233"/>
      <c r="K22" s="125">
        <v>0</v>
      </c>
      <c r="L22" s="233"/>
      <c r="M22" s="125">
        <v>0</v>
      </c>
      <c r="N22" s="37"/>
      <c r="O22" s="125">
        <v>0</v>
      </c>
      <c r="P22" s="125"/>
      <c r="U22"/>
    </row>
    <row r="23" spans="1:21" x14ac:dyDescent="0.25">
      <c r="A23" s="881"/>
      <c r="B23" s="12" t="s">
        <v>1620</v>
      </c>
      <c r="C23" s="37"/>
      <c r="D23" s="37"/>
      <c r="E23" s="37"/>
      <c r="F23" s="37"/>
      <c r="G23" s="37"/>
      <c r="H23" s="37"/>
      <c r="I23" s="233"/>
      <c r="J23" s="233"/>
      <c r="K23" s="125"/>
      <c r="L23" s="233">
        <v>2638.09</v>
      </c>
      <c r="M23" s="125"/>
      <c r="N23" s="37"/>
      <c r="O23" s="125"/>
      <c r="P23" s="125"/>
      <c r="U23"/>
    </row>
    <row r="24" spans="1:21" x14ac:dyDescent="0.25">
      <c r="A24" s="881"/>
      <c r="B24" s="12" t="s">
        <v>1616</v>
      </c>
      <c r="C24" s="37"/>
      <c r="D24" s="37"/>
      <c r="E24" s="37"/>
      <c r="F24" s="37"/>
      <c r="G24" s="37"/>
      <c r="H24" s="37"/>
      <c r="I24" s="233"/>
      <c r="J24" s="233"/>
      <c r="K24" s="125"/>
      <c r="L24" s="233">
        <v>1155.19</v>
      </c>
      <c r="M24" s="125"/>
      <c r="N24" s="37"/>
      <c r="O24" s="125"/>
      <c r="P24" s="125"/>
      <c r="U24"/>
    </row>
    <row r="25" spans="1:21" x14ac:dyDescent="0.25">
      <c r="A25" s="881">
        <v>5710</v>
      </c>
      <c r="B25" s="12" t="s">
        <v>535</v>
      </c>
      <c r="C25" s="37"/>
      <c r="D25" s="37"/>
      <c r="E25" s="37"/>
      <c r="F25" s="37">
        <v>409.6</v>
      </c>
      <c r="G25" s="37">
        <v>145.52000000000001</v>
      </c>
      <c r="H25" s="37">
        <v>465.13</v>
      </c>
      <c r="I25" s="233">
        <v>1073.92</v>
      </c>
      <c r="J25" s="233">
        <v>303.67</v>
      </c>
      <c r="K25" s="125">
        <v>400</v>
      </c>
      <c r="L25" s="233">
        <v>163.09</v>
      </c>
      <c r="M25" s="125">
        <v>400</v>
      </c>
      <c r="N25" s="37">
        <v>162.4</v>
      </c>
      <c r="O25" s="125">
        <v>400</v>
      </c>
      <c r="P25" s="125"/>
      <c r="U25"/>
    </row>
    <row r="26" spans="1:21" ht="13.8" thickBot="1" x14ac:dyDescent="0.3">
      <c r="A26" s="881">
        <v>5730</v>
      </c>
      <c r="B26" s="12" t="s">
        <v>272</v>
      </c>
      <c r="C26" s="15"/>
      <c r="D26" s="15"/>
      <c r="E26" s="15"/>
      <c r="F26" s="15">
        <v>515</v>
      </c>
      <c r="G26" s="15">
        <v>335</v>
      </c>
      <c r="H26" s="15">
        <v>415</v>
      </c>
      <c r="I26" s="318">
        <v>335</v>
      </c>
      <c r="J26" s="318">
        <v>300</v>
      </c>
      <c r="K26" s="123">
        <v>400</v>
      </c>
      <c r="L26" s="318">
        <v>310</v>
      </c>
      <c r="M26" s="123">
        <v>400</v>
      </c>
      <c r="N26" s="15">
        <v>375</v>
      </c>
      <c r="O26" s="123">
        <v>400</v>
      </c>
      <c r="P26" s="123"/>
      <c r="U26"/>
    </row>
    <row r="27" spans="1:21" x14ac:dyDescent="0.25">
      <c r="A27" s="881"/>
      <c r="B27" s="17" t="s">
        <v>450</v>
      </c>
      <c r="C27" s="18">
        <f t="shared" ref="C27:N27" si="2">SUM(C15:C26)</f>
        <v>3531.26</v>
      </c>
      <c r="D27" s="18">
        <f t="shared" si="2"/>
        <v>3631.42</v>
      </c>
      <c r="E27" s="18">
        <f t="shared" si="2"/>
        <v>3636.49</v>
      </c>
      <c r="F27" s="18">
        <f>SUM(F15:F26)</f>
        <v>11808.890000000001</v>
      </c>
      <c r="G27" s="18">
        <f>SUM(G15:G26)</f>
        <v>11308.91</v>
      </c>
      <c r="H27" s="18">
        <f>SUM(H15:H26)</f>
        <v>13270.05</v>
      </c>
      <c r="I27" s="18">
        <f t="shared" si="2"/>
        <v>12845.699999999999</v>
      </c>
      <c r="J27" s="18">
        <f t="shared" ref="J27" si="3">SUM(J15:J26)</f>
        <v>17565.539999999997</v>
      </c>
      <c r="K27" s="19">
        <f>SUM(K15:K26)</f>
        <v>16195</v>
      </c>
      <c r="L27" s="18">
        <f t="shared" ref="L27:M27" si="4">SUM(L15:L26)</f>
        <v>36336.25</v>
      </c>
      <c r="M27" s="19">
        <f t="shared" si="4"/>
        <v>16795</v>
      </c>
      <c r="N27" s="18">
        <f t="shared" si="2"/>
        <v>15118.939999999999</v>
      </c>
      <c r="O27" s="19">
        <f>SUM(O15:O26)</f>
        <v>16795</v>
      </c>
      <c r="P27" s="19">
        <f>SUM(P15:P26)</f>
        <v>0</v>
      </c>
      <c r="U27"/>
    </row>
    <row r="28" spans="1:21" x14ac:dyDescent="0.25">
      <c r="A28" s="881"/>
      <c r="B28" s="12"/>
      <c r="C28" s="13"/>
      <c r="D28" s="13"/>
      <c r="E28" s="13"/>
      <c r="F28" s="13"/>
      <c r="G28" s="13"/>
      <c r="H28" s="13"/>
      <c r="I28" s="13"/>
      <c r="J28" s="13"/>
      <c r="K28" s="14"/>
      <c r="L28" s="13"/>
      <c r="M28" s="14"/>
      <c r="N28" s="13"/>
      <c r="O28" s="14"/>
      <c r="P28" s="14"/>
      <c r="U28"/>
    </row>
    <row r="29" spans="1:21" ht="13.8" thickBot="1" x14ac:dyDescent="0.3">
      <c r="A29" s="882"/>
      <c r="B29" s="20" t="s">
        <v>137</v>
      </c>
      <c r="C29" s="21">
        <f t="shared" ref="C29:O29" si="5">+C27+C13</f>
        <v>93539.86</v>
      </c>
      <c r="D29" s="21">
        <f t="shared" si="5"/>
        <v>101235.73999999999</v>
      </c>
      <c r="E29" s="21">
        <f>+E27+E13</f>
        <v>104042.40999999999</v>
      </c>
      <c r="F29" s="21">
        <f>+F27+F13</f>
        <v>116111.64</v>
      </c>
      <c r="G29" s="21">
        <f>+G27+G13</f>
        <v>120911.25</v>
      </c>
      <c r="H29" s="21">
        <f>+H27+H13</f>
        <v>128193.00000000001</v>
      </c>
      <c r="I29" s="21">
        <f t="shared" si="5"/>
        <v>130539.37</v>
      </c>
      <c r="J29" s="21">
        <f t="shared" ref="J29" si="6">+J27+J13</f>
        <v>141325.91</v>
      </c>
      <c r="K29" s="22">
        <f t="shared" ref="K29:M29" si="7">+K27+K13</f>
        <v>143539</v>
      </c>
      <c r="L29" s="21">
        <f t="shared" si="7"/>
        <v>143294.66999999998</v>
      </c>
      <c r="M29" s="22">
        <f t="shared" si="7"/>
        <v>147944</v>
      </c>
      <c r="N29" s="21">
        <f t="shared" si="5"/>
        <v>93847.32</v>
      </c>
      <c r="O29" s="22">
        <f t="shared" si="5"/>
        <v>150081</v>
      </c>
      <c r="P29" s="22">
        <f>+O29</f>
        <v>150081</v>
      </c>
      <c r="U29"/>
    </row>
    <row r="30" spans="1:21" ht="16.2" thickTop="1" x14ac:dyDescent="0.3">
      <c r="A30" s="876"/>
      <c r="B30" s="4"/>
      <c r="C30" s="23"/>
      <c r="D30" s="23"/>
      <c r="E30" s="23"/>
      <c r="F30" s="23"/>
      <c r="G30" s="23"/>
      <c r="H30" s="23"/>
      <c r="I30" s="23"/>
      <c r="J30" s="23"/>
      <c r="K30" s="23"/>
      <c r="L30" s="23"/>
      <c r="M30" s="23"/>
      <c r="N30" s="27"/>
      <c r="O30" s="23"/>
      <c r="P30" s="77"/>
      <c r="Q30" s="23"/>
      <c r="R30" s="27"/>
      <c r="S30" s="208"/>
      <c r="T30" s="27"/>
      <c r="U30"/>
    </row>
    <row r="31" spans="1:21" ht="15.6" x14ac:dyDescent="0.3">
      <c r="A31" s="876"/>
      <c r="B31" s="4"/>
      <c r="C31" s="23"/>
      <c r="D31" s="23"/>
      <c r="E31" s="23"/>
      <c r="F31" s="23"/>
      <c r="G31" s="23"/>
      <c r="H31" s="23"/>
      <c r="I31" s="23"/>
      <c r="J31" s="23"/>
      <c r="K31" s="23"/>
      <c r="L31" s="23"/>
      <c r="M31" s="23"/>
      <c r="N31" s="27"/>
      <c r="O31" s="23"/>
      <c r="P31" s="77"/>
      <c r="Q31" s="23"/>
      <c r="R31" s="27"/>
      <c r="S31" s="208"/>
      <c r="T31" s="27"/>
      <c r="U31"/>
    </row>
    <row r="32" spans="1:21" x14ac:dyDescent="0.25">
      <c r="A32" s="171"/>
      <c r="B32" s="66"/>
      <c r="C32" s="23"/>
      <c r="D32" s="23"/>
      <c r="E32" s="23"/>
      <c r="F32" s="23"/>
      <c r="G32" s="23"/>
      <c r="H32" s="23"/>
      <c r="I32" s="23"/>
      <c r="J32" s="23"/>
      <c r="K32" s="23"/>
      <c r="L32" s="23"/>
      <c r="M32" s="23"/>
      <c r="N32" s="27"/>
      <c r="O32" s="23"/>
      <c r="P32" s="77"/>
      <c r="Q32" s="27"/>
      <c r="R32" s="27"/>
      <c r="S32" s="27"/>
      <c r="T32" s="27"/>
      <c r="U32"/>
    </row>
    <row r="33" spans="1:21" x14ac:dyDescent="0.25">
      <c r="A33" s="949"/>
      <c r="B33" s="95"/>
      <c r="C33" s="23"/>
      <c r="D33" s="23"/>
      <c r="E33" s="23"/>
      <c r="F33" s="23"/>
      <c r="G33" s="23"/>
      <c r="H33" s="23"/>
      <c r="I33" s="23"/>
      <c r="J33" s="23"/>
      <c r="K33" s="23"/>
      <c r="L33" s="23"/>
      <c r="M33" s="23"/>
      <c r="N33" s="27"/>
      <c r="O33" s="23"/>
      <c r="P33" s="23"/>
      <c r="Q33" s="23"/>
      <c r="R33" s="27"/>
      <c r="S33" s="27"/>
      <c r="T33" s="27"/>
      <c r="U33"/>
    </row>
    <row r="34" spans="1:21" x14ac:dyDescent="0.25">
      <c r="A34" s="57" t="s">
        <v>527</v>
      </c>
      <c r="B34" s="4"/>
      <c r="U34"/>
    </row>
    <row r="35" spans="1:21" ht="13.8" thickBot="1" x14ac:dyDescent="0.3">
      <c r="A35" s="57"/>
      <c r="B35" s="4"/>
      <c r="U35"/>
    </row>
    <row r="36" spans="1:21" ht="13.8" thickTop="1" x14ac:dyDescent="0.25">
      <c r="A36" s="945" t="s">
        <v>891</v>
      </c>
      <c r="B36" s="107"/>
      <c r="K36" s="316" t="s">
        <v>85</v>
      </c>
      <c r="L36" s="156" t="s">
        <v>705</v>
      </c>
      <c r="M36" s="168"/>
      <c r="N36" s="158" t="s">
        <v>579</v>
      </c>
      <c r="O36"/>
      <c r="P36" s="212"/>
      <c r="Q36"/>
      <c r="U36"/>
    </row>
    <row r="37" spans="1:21" ht="13.8" thickBot="1" x14ac:dyDescent="0.3">
      <c r="A37" s="150" t="s">
        <v>892</v>
      </c>
      <c r="B37" s="109" t="s">
        <v>528</v>
      </c>
      <c r="K37" s="343">
        <v>44743</v>
      </c>
      <c r="L37" s="159" t="s">
        <v>576</v>
      </c>
      <c r="M37" s="160" t="s">
        <v>706</v>
      </c>
      <c r="N37" s="160" t="s">
        <v>106</v>
      </c>
      <c r="O37" s="234"/>
      <c r="P37" s="234"/>
      <c r="Q37" s="234" t="s">
        <v>350</v>
      </c>
      <c r="U37"/>
    </row>
    <row r="38" spans="1:21" ht="13.8" thickTop="1" x14ac:dyDescent="0.25">
      <c r="A38" s="171"/>
      <c r="B38" s="110" t="s">
        <v>704</v>
      </c>
      <c r="K38" s="18" t="s">
        <v>1313</v>
      </c>
      <c r="L38" s="18"/>
      <c r="M38" s="19"/>
      <c r="N38" s="155">
        <f>+'NAGE &amp; Non-Union Wages'!L10</f>
        <v>76139</v>
      </c>
      <c r="O38" s="171"/>
      <c r="P38" s="885"/>
      <c r="Q38" s="2">
        <v>900</v>
      </c>
      <c r="U38"/>
    </row>
    <row r="39" spans="1:21" x14ac:dyDescent="0.25">
      <c r="A39" s="171"/>
      <c r="B39" s="63" t="s">
        <v>572</v>
      </c>
      <c r="K39" s="13" t="s">
        <v>787</v>
      </c>
      <c r="L39" s="13">
        <f>+'NAGE &amp; Non-Union Wages'!K5</f>
        <v>21.92</v>
      </c>
      <c r="M39" s="13">
        <v>1040</v>
      </c>
      <c r="N39" s="13">
        <f>ROUND((+L39*M39),2)</f>
        <v>22796.799999999999</v>
      </c>
      <c r="O39" s="171"/>
      <c r="P39" s="885"/>
      <c r="Q39" s="2">
        <v>500</v>
      </c>
      <c r="U39"/>
    </row>
    <row r="40" spans="1:21" x14ac:dyDescent="0.25">
      <c r="A40" s="876"/>
      <c r="B40" s="4"/>
      <c r="C40" s="23"/>
      <c r="D40" s="23"/>
      <c r="E40" s="23"/>
      <c r="F40" s="23"/>
      <c r="I40" s="23"/>
      <c r="J40" s="23"/>
      <c r="K40" s="23"/>
      <c r="L40" s="23"/>
      <c r="M40" s="23"/>
      <c r="N40" s="27"/>
      <c r="O40" s="23"/>
      <c r="P40" s="23"/>
      <c r="Q40" s="23"/>
      <c r="R40" s="27"/>
      <c r="S40" s="27"/>
      <c r="T40" s="27"/>
      <c r="U40"/>
    </row>
    <row r="41" spans="1:21" x14ac:dyDescent="0.25">
      <c r="A41" s="876"/>
      <c r="B41" s="4"/>
      <c r="C41" s="23"/>
      <c r="D41" s="23"/>
      <c r="E41" s="23"/>
      <c r="F41" s="23"/>
      <c r="I41" s="23"/>
      <c r="J41" s="23"/>
      <c r="K41" s="23"/>
      <c r="L41" s="23"/>
      <c r="M41" s="23"/>
      <c r="N41" s="27"/>
      <c r="O41" s="23"/>
      <c r="P41" s="23"/>
      <c r="Q41" s="23"/>
      <c r="R41" s="27"/>
      <c r="S41" s="27"/>
      <c r="T41" s="27"/>
      <c r="U41"/>
    </row>
    <row r="42" spans="1:21" ht="13.8" thickBot="1" x14ac:dyDescent="0.3">
      <c r="A42" s="876"/>
      <c r="B42" s="4"/>
      <c r="C42" s="23"/>
      <c r="D42" s="23"/>
      <c r="E42" s="23"/>
      <c r="F42" s="23"/>
      <c r="I42" s="23"/>
      <c r="J42" s="23"/>
      <c r="K42" s="23"/>
      <c r="L42" s="23"/>
      <c r="M42" s="23"/>
      <c r="N42" s="27"/>
      <c r="O42" s="23"/>
      <c r="P42" s="23"/>
      <c r="Q42" s="23"/>
      <c r="R42" s="27"/>
      <c r="S42" s="27"/>
      <c r="T42" s="27"/>
      <c r="U42"/>
    </row>
    <row r="43" spans="1:21" ht="13.8" thickTop="1" x14ac:dyDescent="0.25">
      <c r="A43" s="893"/>
      <c r="B43" s="452"/>
      <c r="C43" s="453" t="s">
        <v>127</v>
      </c>
      <c r="D43" s="454" t="s">
        <v>127</v>
      </c>
      <c r="E43" s="454" t="s">
        <v>127</v>
      </c>
      <c r="K43" s="455" t="s">
        <v>547</v>
      </c>
      <c r="L43" s="456" t="s">
        <v>9</v>
      </c>
      <c r="M43" s="457" t="s">
        <v>1073</v>
      </c>
      <c r="N43" s="456" t="s">
        <v>686</v>
      </c>
      <c r="O43" s="458"/>
      <c r="P43" s="457"/>
      <c r="Q43" s="23"/>
      <c r="R43" s="27"/>
      <c r="S43" s="27"/>
      <c r="T43" s="27"/>
      <c r="U43"/>
    </row>
    <row r="44" spans="1:21" ht="13.8" thickBot="1" x14ac:dyDescent="0.3">
      <c r="A44" s="894" t="s">
        <v>128</v>
      </c>
      <c r="B44" s="459"/>
      <c r="C44" s="460" t="s">
        <v>347</v>
      </c>
      <c r="D44" s="460" t="s">
        <v>722</v>
      </c>
      <c r="E44" s="461" t="s">
        <v>737</v>
      </c>
      <c r="K44" s="462" t="s">
        <v>909</v>
      </c>
      <c r="L44" s="462" t="s">
        <v>910</v>
      </c>
      <c r="M44" s="461" t="s">
        <v>1075</v>
      </c>
      <c r="N44" s="463" t="s">
        <v>1075</v>
      </c>
      <c r="O44" s="464" t="s">
        <v>1074</v>
      </c>
      <c r="P44" s="462"/>
      <c r="Q44" s="23"/>
      <c r="R44" s="27"/>
      <c r="S44" s="27"/>
      <c r="T44" s="27"/>
      <c r="U44"/>
    </row>
    <row r="45" spans="1:21" ht="13.8" thickTop="1" x14ac:dyDescent="0.25">
      <c r="A45" s="910"/>
      <c r="B45" s="480"/>
      <c r="C45" s="468"/>
      <c r="D45" s="468"/>
      <c r="E45" s="468"/>
      <c r="K45" s="469"/>
      <c r="L45" s="468"/>
      <c r="M45" s="500">
        <f t="shared" ref="M45:M57" si="8">+L45-K45</f>
        <v>0</v>
      </c>
      <c r="N45" s="477"/>
      <c r="O45" s="470"/>
      <c r="P45" s="471"/>
      <c r="Q45" s="23"/>
      <c r="R45" s="27"/>
      <c r="S45" s="27"/>
      <c r="T45" s="27"/>
      <c r="U45"/>
    </row>
    <row r="46" spans="1:21" x14ac:dyDescent="0.25">
      <c r="A46" s="907">
        <v>5111</v>
      </c>
      <c r="B46" s="505" t="s">
        <v>571</v>
      </c>
      <c r="C46" s="476">
        <v>56733.95</v>
      </c>
      <c r="D46" s="476">
        <v>61829</v>
      </c>
      <c r="E46" s="476">
        <v>63697</v>
      </c>
      <c r="K46" s="475">
        <f>+M9</f>
        <v>76139</v>
      </c>
      <c r="L46" s="497">
        <f>+O9</f>
        <v>76139</v>
      </c>
      <c r="M46" s="500">
        <f t="shared" si="8"/>
        <v>0</v>
      </c>
      <c r="N46" s="477" t="str">
        <f t="shared" ref="N46:N57" si="9">IF(K46+L46&lt;&gt;0,IF(K46&lt;&gt;0,IF(M46&lt;&gt;0,ROUND((+M46/K46),4),""),1),"")</f>
        <v/>
      </c>
      <c r="O46" s="470"/>
      <c r="P46" s="471"/>
      <c r="Q46" s="23"/>
      <c r="R46" s="27"/>
      <c r="S46" s="27"/>
      <c r="T46" s="27"/>
      <c r="U46"/>
    </row>
    <row r="47" spans="1:21" x14ac:dyDescent="0.25">
      <c r="A47" s="907">
        <v>5113</v>
      </c>
      <c r="B47" s="501" t="s">
        <v>572</v>
      </c>
      <c r="C47" s="476">
        <v>14204.61</v>
      </c>
      <c r="D47" s="476">
        <v>16756.2</v>
      </c>
      <c r="E47" s="476">
        <v>17207.96</v>
      </c>
      <c r="K47" s="475">
        <f>+M10</f>
        <v>22360</v>
      </c>
      <c r="L47" s="497">
        <f>+O10</f>
        <v>22797</v>
      </c>
      <c r="M47" s="500">
        <f t="shared" si="8"/>
        <v>437</v>
      </c>
      <c r="N47" s="477">
        <f t="shared" si="9"/>
        <v>1.95E-2</v>
      </c>
      <c r="O47" s="470" t="s">
        <v>1686</v>
      </c>
      <c r="P47" s="471"/>
      <c r="Q47" s="23"/>
      <c r="R47" s="27"/>
      <c r="S47" s="27"/>
      <c r="T47" s="27"/>
      <c r="U47"/>
    </row>
    <row r="48" spans="1:21" x14ac:dyDescent="0.25">
      <c r="A48" s="907">
        <v>5124</v>
      </c>
      <c r="B48" s="472" t="s">
        <v>185</v>
      </c>
      <c r="C48" s="476">
        <v>18920.04</v>
      </c>
      <c r="D48" s="476">
        <v>18869.12</v>
      </c>
      <c r="E48" s="476">
        <v>19350.96</v>
      </c>
      <c r="K48" s="475">
        <f>+M11</f>
        <v>31450</v>
      </c>
      <c r="L48" s="497">
        <f>+O11</f>
        <v>32950</v>
      </c>
      <c r="M48" s="500">
        <f t="shared" si="8"/>
        <v>1500</v>
      </c>
      <c r="N48" s="477">
        <f t="shared" si="9"/>
        <v>4.7699999999999999E-2</v>
      </c>
      <c r="O48" s="470" t="s">
        <v>1860</v>
      </c>
      <c r="P48" s="471"/>
      <c r="Q48" s="23"/>
      <c r="R48" s="27"/>
      <c r="S48" s="27"/>
      <c r="T48" s="27"/>
      <c r="U48"/>
    </row>
    <row r="49" spans="1:21" ht="13.8" thickBot="1" x14ac:dyDescent="0.3">
      <c r="A49" s="907">
        <v>5144</v>
      </c>
      <c r="B49" s="472" t="s">
        <v>157</v>
      </c>
      <c r="C49" s="474">
        <v>150</v>
      </c>
      <c r="D49" s="474">
        <v>150</v>
      </c>
      <c r="E49" s="474">
        <v>150</v>
      </c>
      <c r="K49" s="475">
        <f>+M12</f>
        <v>1200</v>
      </c>
      <c r="L49" s="497">
        <f>+O12</f>
        <v>1400</v>
      </c>
      <c r="M49" s="471">
        <f t="shared" si="8"/>
        <v>200</v>
      </c>
      <c r="N49" s="477">
        <f t="shared" si="9"/>
        <v>0.16669999999999999</v>
      </c>
      <c r="O49" s="470" t="s">
        <v>1740</v>
      </c>
      <c r="P49" s="471"/>
      <c r="Q49" s="23"/>
      <c r="R49" s="27"/>
      <c r="S49" s="27"/>
      <c r="T49" s="27"/>
      <c r="U49"/>
    </row>
    <row r="50" spans="1:21" x14ac:dyDescent="0.25">
      <c r="A50" s="907">
        <v>5242</v>
      </c>
      <c r="B50" s="472" t="s">
        <v>853</v>
      </c>
      <c r="C50" s="476"/>
      <c r="D50" s="476"/>
      <c r="E50" s="476"/>
      <c r="K50" s="469">
        <f>+M15</f>
        <v>12095</v>
      </c>
      <c r="L50" s="496">
        <f>+O15</f>
        <v>12095</v>
      </c>
      <c r="M50" s="500">
        <f t="shared" si="8"/>
        <v>0</v>
      </c>
      <c r="N50" s="477" t="str">
        <f t="shared" si="9"/>
        <v/>
      </c>
      <c r="O50" s="483"/>
      <c r="P50" s="500"/>
      <c r="Q50" s="23"/>
      <c r="R50" s="27"/>
      <c r="S50" s="27"/>
      <c r="T50" s="27"/>
      <c r="U50"/>
    </row>
    <row r="51" spans="1:21" x14ac:dyDescent="0.25">
      <c r="A51" s="907">
        <v>5248</v>
      </c>
      <c r="B51" s="472" t="s">
        <v>861</v>
      </c>
      <c r="C51" s="478"/>
      <c r="D51" s="478"/>
      <c r="E51" s="478"/>
      <c r="K51" s="469">
        <f>+M18</f>
        <v>1400</v>
      </c>
      <c r="L51" s="496">
        <f>+O18</f>
        <v>1400</v>
      </c>
      <c r="M51" s="500">
        <f t="shared" si="8"/>
        <v>0</v>
      </c>
      <c r="N51" s="477" t="str">
        <f t="shared" si="9"/>
        <v/>
      </c>
      <c r="O51" s="470"/>
      <c r="P51" s="471"/>
      <c r="Q51" s="23"/>
      <c r="R51" s="27"/>
      <c r="S51" s="27"/>
      <c r="T51" s="27"/>
      <c r="U51"/>
    </row>
    <row r="52" spans="1:21" x14ac:dyDescent="0.25">
      <c r="A52" s="907">
        <v>5314</v>
      </c>
      <c r="B52" s="472" t="s">
        <v>139</v>
      </c>
      <c r="C52" s="478"/>
      <c r="D52" s="478"/>
      <c r="E52" s="478"/>
      <c r="K52" s="469">
        <f>+M19</f>
        <v>700</v>
      </c>
      <c r="L52" s="496">
        <f>+O19</f>
        <v>700</v>
      </c>
      <c r="M52" s="500">
        <f t="shared" si="8"/>
        <v>0</v>
      </c>
      <c r="N52" s="477" t="str">
        <f t="shared" si="9"/>
        <v/>
      </c>
      <c r="O52" s="470"/>
      <c r="P52" s="471"/>
      <c r="Q52" s="23"/>
      <c r="R52" s="27"/>
      <c r="S52" s="27"/>
      <c r="T52" s="27"/>
      <c r="U52"/>
    </row>
    <row r="53" spans="1:21" x14ac:dyDescent="0.25">
      <c r="A53" s="907">
        <v>5341</v>
      </c>
      <c r="B53" s="472" t="s">
        <v>141</v>
      </c>
      <c r="C53" s="476">
        <v>414.26</v>
      </c>
      <c r="D53" s="476">
        <v>403.42</v>
      </c>
      <c r="E53" s="476">
        <v>408.49</v>
      </c>
      <c r="K53" s="469">
        <f>+M20</f>
        <v>0</v>
      </c>
      <c r="L53" s="496">
        <f>+O20</f>
        <v>0</v>
      </c>
      <c r="M53" s="500">
        <f t="shared" si="8"/>
        <v>0</v>
      </c>
      <c r="N53" s="477" t="str">
        <f t="shared" si="9"/>
        <v/>
      </c>
      <c r="O53" s="470"/>
      <c r="P53" s="471"/>
      <c r="Q53" s="23"/>
      <c r="R53" s="27"/>
      <c r="S53" s="27"/>
      <c r="T53" s="27"/>
      <c r="U53"/>
    </row>
    <row r="54" spans="1:21" x14ac:dyDescent="0.25">
      <c r="A54" s="907">
        <v>5342</v>
      </c>
      <c r="B54" s="472" t="s">
        <v>855</v>
      </c>
      <c r="C54" s="476"/>
      <c r="D54" s="476"/>
      <c r="E54" s="476"/>
      <c r="K54" s="469">
        <f>+M21</f>
        <v>1800</v>
      </c>
      <c r="L54" s="496">
        <f>+O21</f>
        <v>1800</v>
      </c>
      <c r="M54" s="500">
        <f t="shared" si="8"/>
        <v>0</v>
      </c>
      <c r="N54" s="477" t="str">
        <f t="shared" si="9"/>
        <v/>
      </c>
      <c r="O54" s="470"/>
      <c r="P54" s="471"/>
      <c r="Q54" s="23"/>
      <c r="R54" s="27"/>
      <c r="S54" s="27"/>
      <c r="T54" s="27"/>
      <c r="U54"/>
    </row>
    <row r="55" spans="1:21" x14ac:dyDescent="0.25">
      <c r="A55" s="907">
        <v>5500</v>
      </c>
      <c r="B55" s="472" t="s">
        <v>865</v>
      </c>
      <c r="C55" s="478"/>
      <c r="D55" s="478"/>
      <c r="E55" s="478"/>
      <c r="K55" s="469">
        <f>+M22</f>
        <v>0</v>
      </c>
      <c r="L55" s="496">
        <f>+O22</f>
        <v>0</v>
      </c>
      <c r="M55" s="500">
        <f t="shared" si="8"/>
        <v>0</v>
      </c>
      <c r="N55" s="477" t="str">
        <f t="shared" si="9"/>
        <v/>
      </c>
      <c r="O55" s="470"/>
      <c r="P55" s="471"/>
      <c r="Q55" s="23"/>
      <c r="R55" s="27"/>
      <c r="S55" s="27"/>
      <c r="T55" s="27"/>
      <c r="U55"/>
    </row>
    <row r="56" spans="1:21" x14ac:dyDescent="0.25">
      <c r="A56" s="907">
        <v>5710</v>
      </c>
      <c r="B56" s="472" t="s">
        <v>535</v>
      </c>
      <c r="C56" s="478"/>
      <c r="D56" s="478"/>
      <c r="E56" s="478"/>
      <c r="K56" s="469">
        <f>+M25</f>
        <v>400</v>
      </c>
      <c r="L56" s="496">
        <f>+O25</f>
        <v>400</v>
      </c>
      <c r="M56" s="500">
        <f t="shared" si="8"/>
        <v>0</v>
      </c>
      <c r="N56" s="477" t="str">
        <f t="shared" si="9"/>
        <v/>
      </c>
      <c r="O56" s="470"/>
      <c r="P56" s="471"/>
      <c r="Q56" s="23"/>
      <c r="R56" s="27"/>
      <c r="S56" s="27"/>
      <c r="T56" s="27"/>
      <c r="U56"/>
    </row>
    <row r="57" spans="1:21" ht="13.8" thickBot="1" x14ac:dyDescent="0.3">
      <c r="A57" s="907">
        <v>5730</v>
      </c>
      <c r="B57" s="472" t="s">
        <v>272</v>
      </c>
      <c r="C57" s="474"/>
      <c r="D57" s="474"/>
      <c r="E57" s="474"/>
      <c r="K57" s="469">
        <f>+M26</f>
        <v>400</v>
      </c>
      <c r="L57" s="496">
        <f>+O26</f>
        <v>400</v>
      </c>
      <c r="M57" s="506">
        <f t="shared" si="8"/>
        <v>0</v>
      </c>
      <c r="N57" s="477" t="str">
        <f t="shared" si="9"/>
        <v/>
      </c>
      <c r="O57" s="507"/>
      <c r="P57" s="506"/>
      <c r="Q57" s="23"/>
      <c r="R57" s="27"/>
      <c r="S57" s="27"/>
      <c r="T57" s="27"/>
      <c r="U57"/>
    </row>
    <row r="58" spans="1:21" x14ac:dyDescent="0.25">
      <c r="A58" s="876"/>
      <c r="B58" s="4"/>
      <c r="C58" s="23"/>
      <c r="D58" s="23"/>
      <c r="E58" s="23"/>
      <c r="F58" s="23"/>
      <c r="G58" s="23"/>
      <c r="K58" s="23"/>
      <c r="L58" s="23"/>
      <c r="M58" s="23"/>
      <c r="N58" s="4"/>
      <c r="O58" s="23"/>
      <c r="P58" s="23"/>
      <c r="Q58" s="23"/>
      <c r="R58" s="4"/>
      <c r="S58" s="4"/>
      <c r="T58" s="4"/>
      <c r="U58"/>
    </row>
    <row r="59" spans="1:21" x14ac:dyDescent="0.25">
      <c r="A59" s="876"/>
      <c r="B59" s="4" t="s">
        <v>1363</v>
      </c>
      <c r="C59" s="23"/>
      <c r="D59" s="23"/>
      <c r="E59" s="23"/>
      <c r="F59" s="23"/>
      <c r="G59" s="23"/>
      <c r="K59" s="742">
        <f>SUM(K46:K58)</f>
        <v>147944</v>
      </c>
      <c r="L59" s="742">
        <f>SUM(L46:L58)</f>
        <v>150081</v>
      </c>
      <c r="M59" s="202">
        <f>+L59-K59</f>
        <v>2137</v>
      </c>
      <c r="N59" s="743">
        <f>IF(K59+L59&lt;&gt;0,IF(K59&lt;&gt;0,IF(M59&lt;&gt;0,ROUND((+M59/K59),4),""),1),"")</f>
        <v>1.44E-2</v>
      </c>
      <c r="O59" s="23"/>
      <c r="P59" s="23"/>
      <c r="Q59" s="23"/>
      <c r="R59" s="4"/>
      <c r="S59" s="4"/>
      <c r="T59" s="4"/>
      <c r="U59"/>
    </row>
    <row r="60" spans="1:21" x14ac:dyDescent="0.25">
      <c r="A60" s="876"/>
      <c r="B60" s="4"/>
      <c r="C60" s="23"/>
      <c r="D60" s="23"/>
      <c r="E60" s="23"/>
      <c r="F60" s="23"/>
      <c r="G60" s="23"/>
      <c r="I60" s="23"/>
      <c r="J60" s="23"/>
      <c r="K60" s="23"/>
      <c r="L60" s="23"/>
      <c r="M60" s="23"/>
      <c r="N60" s="4"/>
      <c r="O60" s="23"/>
      <c r="P60" s="23"/>
      <c r="Q60" s="23"/>
      <c r="R60" s="4"/>
      <c r="S60" s="4"/>
      <c r="T60" s="4"/>
      <c r="U60"/>
    </row>
    <row r="61" spans="1:21" x14ac:dyDescent="0.25">
      <c r="A61" s="876"/>
      <c r="B61" s="4"/>
      <c r="C61" s="23"/>
      <c r="D61" s="23"/>
      <c r="E61" s="23"/>
      <c r="F61" s="23"/>
      <c r="G61" s="23"/>
      <c r="H61" s="23"/>
      <c r="I61" s="23"/>
      <c r="J61" s="23"/>
      <c r="K61" s="23"/>
      <c r="L61" s="23"/>
      <c r="M61" s="23"/>
      <c r="N61" s="4"/>
      <c r="O61" s="23"/>
      <c r="P61" s="23"/>
      <c r="Q61" s="23"/>
      <c r="R61" s="4"/>
      <c r="S61" s="4"/>
      <c r="T61" s="4"/>
      <c r="U61"/>
    </row>
    <row r="62" spans="1:21" x14ac:dyDescent="0.25">
      <c r="A62" s="876"/>
      <c r="B62" s="4"/>
      <c r="C62" s="23"/>
      <c r="D62" s="23"/>
      <c r="E62" s="23"/>
      <c r="F62" s="23"/>
      <c r="G62" s="23"/>
      <c r="H62" s="23"/>
      <c r="I62" s="23"/>
      <c r="J62" s="23"/>
      <c r="K62" s="23"/>
      <c r="L62" s="23"/>
      <c r="M62" s="23"/>
      <c r="N62" s="4"/>
      <c r="O62" s="23"/>
      <c r="P62" s="23"/>
      <c r="Q62" s="23"/>
      <c r="R62" s="4"/>
      <c r="S62" s="4"/>
      <c r="T62" s="4"/>
      <c r="U62"/>
    </row>
    <row r="63" spans="1:21" x14ac:dyDescent="0.25">
      <c r="A63" s="876"/>
      <c r="B63" s="4"/>
      <c r="C63" s="23"/>
      <c r="D63" s="23"/>
      <c r="E63" s="23"/>
      <c r="F63" s="23"/>
      <c r="G63" s="23"/>
      <c r="H63" s="23"/>
      <c r="I63" s="23"/>
      <c r="J63" s="23"/>
      <c r="K63" s="23"/>
      <c r="L63" s="23"/>
      <c r="M63" s="23"/>
      <c r="N63" s="4"/>
      <c r="O63" s="23"/>
      <c r="P63" s="23"/>
      <c r="Q63" s="23"/>
      <c r="R63" s="4"/>
      <c r="S63" s="4"/>
      <c r="T63" s="4"/>
      <c r="U63"/>
    </row>
    <row r="64" spans="1:21" x14ac:dyDescent="0.25">
      <c r="A64" s="876"/>
      <c r="B64" s="4"/>
      <c r="C64" s="23"/>
      <c r="D64" s="23"/>
      <c r="E64" s="23"/>
      <c r="F64" s="23"/>
      <c r="G64" s="23"/>
      <c r="H64" s="23"/>
      <c r="I64" s="23"/>
      <c r="J64" s="23"/>
      <c r="K64" s="23"/>
      <c r="L64" s="23"/>
      <c r="M64" s="23"/>
      <c r="N64" s="4"/>
      <c r="O64" s="23"/>
      <c r="P64" s="23"/>
      <c r="Q64" s="23"/>
      <c r="R64" s="4"/>
      <c r="S64" s="4"/>
      <c r="T64" s="4"/>
      <c r="U64"/>
    </row>
    <row r="65" spans="1:21" x14ac:dyDescent="0.25">
      <c r="A65" s="876"/>
      <c r="B65" s="4"/>
      <c r="C65" s="23"/>
      <c r="D65" s="23"/>
      <c r="E65" s="23"/>
      <c r="F65" s="23"/>
      <c r="G65" s="23"/>
      <c r="H65" s="23"/>
      <c r="I65" s="23"/>
      <c r="J65" s="23"/>
      <c r="K65" s="23"/>
      <c r="L65" s="23"/>
      <c r="M65" s="23"/>
      <c r="N65" s="4"/>
      <c r="O65" s="23"/>
      <c r="P65" s="23"/>
      <c r="Q65" s="23"/>
      <c r="R65" s="4"/>
      <c r="S65" s="4"/>
      <c r="T65" s="4"/>
      <c r="U65"/>
    </row>
    <row r="66" spans="1:21" x14ac:dyDescent="0.25">
      <c r="A66" s="876"/>
      <c r="B66" s="4"/>
      <c r="C66" s="23"/>
      <c r="D66" s="23"/>
      <c r="E66" s="23"/>
      <c r="F66" s="23"/>
      <c r="G66" s="23"/>
      <c r="H66" s="23"/>
      <c r="I66" s="23"/>
      <c r="J66" s="23"/>
      <c r="K66" s="23"/>
      <c r="L66" s="23"/>
      <c r="M66" s="23"/>
      <c r="N66" s="4"/>
      <c r="O66" s="23"/>
      <c r="P66" s="23"/>
      <c r="Q66" s="23"/>
      <c r="R66" s="4"/>
      <c r="S66" s="4"/>
      <c r="T66" s="4"/>
      <c r="U66"/>
    </row>
    <row r="67" spans="1:21" x14ac:dyDescent="0.25">
      <c r="A67" s="876"/>
      <c r="B67" s="4"/>
      <c r="C67" s="23"/>
      <c r="D67" s="23"/>
      <c r="E67" s="23"/>
      <c r="F67" s="23"/>
      <c r="G67" s="23"/>
      <c r="H67" s="23"/>
      <c r="I67" s="23"/>
      <c r="J67" s="23"/>
      <c r="K67" s="23"/>
      <c r="L67" s="23"/>
      <c r="M67" s="23"/>
      <c r="N67" s="4"/>
      <c r="O67" s="23"/>
      <c r="P67" s="23"/>
      <c r="Q67" s="23"/>
      <c r="R67" s="4"/>
      <c r="S67" s="4"/>
      <c r="T67" s="4"/>
      <c r="U67"/>
    </row>
    <row r="68" spans="1:21" x14ac:dyDescent="0.25">
      <c r="A68" s="876"/>
      <c r="B68" s="4"/>
      <c r="C68" s="23"/>
      <c r="D68" s="23"/>
      <c r="E68" s="23"/>
      <c r="F68" s="23"/>
      <c r="G68" s="23"/>
      <c r="H68" s="23"/>
      <c r="I68" s="23"/>
      <c r="J68" s="23"/>
      <c r="K68" s="23"/>
      <c r="L68" s="23"/>
      <c r="M68" s="23"/>
      <c r="N68" s="4"/>
      <c r="O68" s="23"/>
      <c r="P68" s="23"/>
      <c r="Q68" s="23"/>
      <c r="R68" s="4"/>
      <c r="S68" s="4"/>
      <c r="T68" s="4"/>
      <c r="U68"/>
    </row>
    <row r="69" spans="1:21" x14ac:dyDescent="0.25">
      <c r="A69" s="876"/>
      <c r="B69" s="4"/>
      <c r="C69" s="23"/>
      <c r="D69" s="23"/>
      <c r="E69" s="23"/>
      <c r="F69" s="23"/>
      <c r="G69" s="23"/>
      <c r="H69" s="23"/>
      <c r="I69" s="23"/>
      <c r="J69" s="23"/>
      <c r="K69" s="23"/>
      <c r="L69" s="23"/>
      <c r="M69" s="23"/>
      <c r="N69" s="4"/>
      <c r="O69" s="23"/>
      <c r="P69" s="23"/>
      <c r="Q69" s="23"/>
      <c r="R69" s="4"/>
      <c r="S69" s="4"/>
      <c r="T69" s="4"/>
      <c r="U69"/>
    </row>
    <row r="70" spans="1:21" x14ac:dyDescent="0.25">
      <c r="A70" s="876"/>
      <c r="B70" s="4"/>
      <c r="C70" s="23"/>
      <c r="D70" s="23"/>
      <c r="E70" s="23"/>
      <c r="F70" s="23"/>
      <c r="G70" s="23"/>
      <c r="H70" s="23"/>
      <c r="I70" s="23"/>
      <c r="J70" s="23"/>
      <c r="K70" s="23"/>
      <c r="L70" s="23"/>
      <c r="M70" s="23"/>
      <c r="N70" s="4"/>
      <c r="O70" s="23"/>
      <c r="P70" s="23"/>
      <c r="Q70" s="23"/>
      <c r="R70" s="4"/>
      <c r="S70" s="4"/>
      <c r="T70" s="4"/>
      <c r="U70"/>
    </row>
    <row r="71" spans="1:21" x14ac:dyDescent="0.25">
      <c r="A71" s="876"/>
      <c r="B71" s="4"/>
      <c r="C71" s="23"/>
      <c r="D71" s="23"/>
      <c r="E71" s="23"/>
      <c r="F71" s="23"/>
      <c r="G71" s="23"/>
      <c r="H71" s="23"/>
      <c r="I71" s="23"/>
      <c r="J71" s="23"/>
      <c r="K71" s="23"/>
      <c r="L71" s="23"/>
      <c r="M71" s="23"/>
      <c r="N71" s="4"/>
      <c r="O71" s="23"/>
      <c r="P71" s="23"/>
      <c r="Q71" s="23"/>
      <c r="R71" s="4"/>
      <c r="S71" s="4"/>
      <c r="T71" s="4"/>
      <c r="U71"/>
    </row>
    <row r="72" spans="1:21" x14ac:dyDescent="0.25">
      <c r="A72" s="876"/>
      <c r="B72" s="4"/>
      <c r="C72" s="23"/>
      <c r="D72" s="23"/>
      <c r="E72" s="23"/>
      <c r="F72" s="23"/>
      <c r="G72" s="23"/>
      <c r="H72" s="23"/>
      <c r="I72" s="23"/>
      <c r="J72" s="23"/>
      <c r="K72" s="23"/>
      <c r="L72" s="23"/>
      <c r="M72" s="23"/>
      <c r="N72" s="4"/>
      <c r="O72" s="23"/>
      <c r="P72" s="23"/>
      <c r="Q72" s="23"/>
      <c r="R72" s="4"/>
      <c r="S72" s="4"/>
      <c r="T72" s="4"/>
      <c r="U72"/>
    </row>
    <row r="73" spans="1:21" x14ac:dyDescent="0.25">
      <c r="A73" s="876"/>
      <c r="B73" s="4"/>
      <c r="C73" s="23"/>
      <c r="D73" s="23"/>
      <c r="E73" s="23"/>
      <c r="F73" s="23"/>
      <c r="G73" s="23"/>
      <c r="H73" s="23"/>
      <c r="I73" s="23"/>
      <c r="J73" s="23"/>
      <c r="K73" s="23"/>
      <c r="L73" s="23"/>
      <c r="M73" s="23"/>
      <c r="N73" s="4"/>
      <c r="O73" s="23"/>
      <c r="P73" s="23"/>
      <c r="Q73" s="23"/>
      <c r="R73" s="4"/>
      <c r="S73" s="4"/>
      <c r="T73" s="4"/>
      <c r="U73"/>
    </row>
    <row r="74" spans="1:21" x14ac:dyDescent="0.25">
      <c r="A74" s="876"/>
      <c r="B74" s="4"/>
      <c r="C74" s="23"/>
      <c r="D74" s="23"/>
      <c r="E74" s="23"/>
      <c r="F74" s="23"/>
      <c r="G74" s="23"/>
      <c r="H74" s="23"/>
      <c r="I74" s="23"/>
      <c r="J74" s="23"/>
      <c r="K74" s="23"/>
      <c r="L74" s="23"/>
      <c r="M74" s="23"/>
      <c r="N74" s="4"/>
      <c r="O74" s="23"/>
      <c r="P74" s="23"/>
      <c r="Q74" s="23"/>
      <c r="R74" s="4"/>
      <c r="S74" s="4"/>
      <c r="T74" s="4"/>
      <c r="U74"/>
    </row>
    <row r="75" spans="1:21" x14ac:dyDescent="0.25">
      <c r="A75" s="876"/>
      <c r="B75" s="4"/>
      <c r="C75" s="23"/>
      <c r="D75" s="23"/>
      <c r="E75" s="23"/>
      <c r="F75" s="23"/>
      <c r="G75" s="23"/>
      <c r="H75" s="23"/>
      <c r="I75" s="23"/>
      <c r="J75" s="23"/>
      <c r="K75" s="23"/>
      <c r="L75" s="23"/>
      <c r="M75" s="23"/>
      <c r="N75" s="4"/>
      <c r="O75" s="23"/>
      <c r="P75" s="23"/>
      <c r="Q75" s="23"/>
      <c r="R75" s="4"/>
      <c r="S75" s="4"/>
      <c r="T75" s="4"/>
      <c r="U75"/>
    </row>
    <row r="76" spans="1:21" x14ac:dyDescent="0.25">
      <c r="A76" s="876"/>
      <c r="B76" s="4"/>
      <c r="C76" s="23"/>
      <c r="D76" s="23"/>
      <c r="E76" s="23"/>
      <c r="F76" s="23"/>
      <c r="G76" s="23"/>
      <c r="H76" s="23"/>
      <c r="I76" s="23"/>
      <c r="J76" s="23"/>
      <c r="K76" s="23"/>
      <c r="L76" s="23"/>
      <c r="M76" s="23"/>
      <c r="N76" s="4"/>
      <c r="O76" s="23"/>
      <c r="P76" s="23"/>
      <c r="Q76" s="23"/>
      <c r="R76" s="4"/>
      <c r="S76" s="4"/>
      <c r="T76" s="4"/>
      <c r="U76"/>
    </row>
    <row r="77" spans="1:21" x14ac:dyDescent="0.25">
      <c r="A77" s="876"/>
      <c r="B77" s="4"/>
      <c r="C77" s="23"/>
      <c r="D77" s="23"/>
      <c r="E77" s="23"/>
      <c r="F77" s="23"/>
      <c r="G77" s="23"/>
      <c r="H77" s="23"/>
      <c r="I77" s="23"/>
      <c r="J77" s="23"/>
      <c r="K77" s="23"/>
      <c r="L77" s="23"/>
      <c r="M77" s="23"/>
      <c r="N77" s="4"/>
      <c r="O77" s="23"/>
      <c r="P77" s="23"/>
      <c r="Q77" s="23"/>
      <c r="R77" s="4"/>
      <c r="S77" s="4"/>
      <c r="T77" s="4"/>
      <c r="U77"/>
    </row>
    <row r="78" spans="1:21" x14ac:dyDescent="0.25">
      <c r="A78" s="876"/>
      <c r="B78" s="4"/>
      <c r="C78" s="23"/>
      <c r="D78" s="23"/>
      <c r="E78" s="23"/>
      <c r="F78" s="23"/>
      <c r="G78" s="23"/>
      <c r="H78" s="23"/>
      <c r="I78" s="23"/>
      <c r="J78" s="23"/>
      <c r="K78" s="23"/>
      <c r="L78" s="23"/>
      <c r="M78" s="23"/>
      <c r="N78" s="4"/>
      <c r="O78" s="23"/>
      <c r="P78" s="23"/>
      <c r="Q78" s="23"/>
      <c r="R78" s="4"/>
      <c r="S78" s="4"/>
      <c r="T78" s="4"/>
      <c r="U78"/>
    </row>
    <row r="79" spans="1:21" x14ac:dyDescent="0.25">
      <c r="A79" s="876"/>
      <c r="B79" s="4"/>
      <c r="C79" s="23"/>
      <c r="D79" s="23"/>
      <c r="E79" s="23"/>
      <c r="F79" s="23"/>
      <c r="G79" s="23"/>
      <c r="H79" s="23"/>
      <c r="I79" s="23"/>
      <c r="J79" s="23"/>
      <c r="K79" s="23"/>
      <c r="L79" s="23"/>
      <c r="M79" s="23"/>
      <c r="N79" s="4"/>
      <c r="O79" s="23"/>
      <c r="P79" s="23"/>
      <c r="Q79" s="23"/>
      <c r="R79" s="4"/>
      <c r="S79" s="4"/>
      <c r="T79" s="4"/>
      <c r="U79"/>
    </row>
    <row r="80" spans="1:21" x14ac:dyDescent="0.25">
      <c r="A80" s="876"/>
      <c r="B80" s="4"/>
      <c r="C80" s="23"/>
      <c r="D80" s="23"/>
      <c r="E80" s="23"/>
      <c r="F80" s="23"/>
      <c r="G80" s="23"/>
      <c r="H80" s="23"/>
      <c r="I80" s="23"/>
      <c r="J80" s="23"/>
      <c r="K80" s="23"/>
      <c r="L80" s="23"/>
      <c r="M80" s="23"/>
      <c r="N80" s="4"/>
      <c r="O80" s="23"/>
      <c r="P80" s="23"/>
      <c r="Q80" s="23"/>
      <c r="R80" s="4"/>
      <c r="S80" s="4"/>
      <c r="T80" s="4"/>
      <c r="U80"/>
    </row>
    <row r="81" spans="1:21" x14ac:dyDescent="0.25">
      <c r="A81" s="876"/>
      <c r="B81" s="4"/>
      <c r="C81" s="23"/>
      <c r="D81" s="23"/>
      <c r="E81" s="23"/>
      <c r="F81" s="23"/>
      <c r="G81" s="23"/>
      <c r="H81" s="23"/>
      <c r="I81" s="23"/>
      <c r="J81" s="23"/>
      <c r="K81" s="23"/>
      <c r="L81" s="23"/>
      <c r="M81" s="23"/>
      <c r="N81" s="4"/>
      <c r="O81" s="23"/>
      <c r="P81" s="23"/>
      <c r="Q81" s="23"/>
      <c r="R81" s="4"/>
      <c r="S81" s="4"/>
      <c r="T81" s="4"/>
      <c r="U81"/>
    </row>
    <row r="82" spans="1:21" x14ac:dyDescent="0.25">
      <c r="A82" s="876"/>
      <c r="B82" s="4"/>
      <c r="C82" s="23"/>
      <c r="D82" s="23"/>
      <c r="E82" s="23"/>
      <c r="F82" s="23"/>
      <c r="G82" s="23"/>
      <c r="H82" s="23"/>
      <c r="I82" s="23"/>
      <c r="J82" s="23"/>
      <c r="K82" s="23"/>
      <c r="L82" s="23"/>
      <c r="M82" s="23"/>
      <c r="N82" s="4"/>
      <c r="O82" s="23"/>
      <c r="P82" s="23"/>
      <c r="Q82" s="23"/>
      <c r="R82" s="4"/>
      <c r="S82" s="4"/>
      <c r="T82" s="4"/>
      <c r="U82"/>
    </row>
    <row r="83" spans="1:21" x14ac:dyDescent="0.25">
      <c r="A83" s="876"/>
      <c r="B83" s="4"/>
      <c r="C83" s="23"/>
      <c r="D83" s="23"/>
      <c r="E83" s="23"/>
      <c r="F83" s="23"/>
      <c r="G83" s="23"/>
      <c r="H83" s="23"/>
      <c r="I83" s="23"/>
      <c r="J83" s="23"/>
      <c r="K83" s="23"/>
      <c r="L83" s="23"/>
      <c r="M83" s="23"/>
      <c r="N83" s="4"/>
      <c r="O83" s="23"/>
      <c r="P83" s="23"/>
      <c r="Q83" s="23"/>
      <c r="R83" s="4"/>
      <c r="S83" s="4"/>
      <c r="T83" s="4"/>
      <c r="U83"/>
    </row>
    <row r="84" spans="1:21" x14ac:dyDescent="0.25">
      <c r="A84" s="876"/>
      <c r="B84" s="4"/>
      <c r="C84" s="23"/>
      <c r="D84" s="23"/>
      <c r="E84" s="23"/>
      <c r="F84" s="23"/>
      <c r="G84" s="23"/>
      <c r="H84" s="23"/>
      <c r="I84" s="23"/>
      <c r="J84" s="23"/>
      <c r="K84" s="23"/>
      <c r="L84" s="23"/>
      <c r="M84" s="23"/>
      <c r="N84" s="4"/>
      <c r="O84" s="23"/>
      <c r="P84" s="23"/>
      <c r="Q84" s="23"/>
      <c r="R84" s="4"/>
      <c r="S84" s="4"/>
      <c r="T84" s="4"/>
      <c r="U84"/>
    </row>
    <row r="85" spans="1:21" x14ac:dyDescent="0.25">
      <c r="A85" s="876"/>
      <c r="B85" s="4"/>
      <c r="C85" s="23"/>
      <c r="D85" s="23"/>
      <c r="E85" s="23"/>
      <c r="F85" s="23"/>
      <c r="G85" s="23"/>
      <c r="H85" s="23"/>
      <c r="I85" s="23"/>
      <c r="J85" s="23"/>
      <c r="K85" s="23"/>
      <c r="L85" s="23"/>
      <c r="M85" s="23"/>
      <c r="N85" s="4"/>
      <c r="O85" s="23"/>
      <c r="P85" s="23"/>
      <c r="Q85" s="23"/>
      <c r="R85" s="4"/>
      <c r="S85" s="4"/>
      <c r="T85" s="4"/>
      <c r="U85"/>
    </row>
    <row r="86" spans="1:21" x14ac:dyDescent="0.25">
      <c r="A86" s="876"/>
      <c r="B86" s="4"/>
      <c r="C86" s="23"/>
      <c r="D86" s="23"/>
      <c r="E86" s="23"/>
      <c r="F86" s="23"/>
      <c r="G86" s="23"/>
      <c r="H86" s="23"/>
      <c r="I86" s="23"/>
      <c r="J86" s="23"/>
      <c r="K86" s="23"/>
      <c r="L86" s="23"/>
      <c r="M86" s="23"/>
      <c r="N86" s="4"/>
      <c r="O86" s="23"/>
      <c r="P86" s="23"/>
      <c r="Q86" s="23"/>
      <c r="R86" s="4"/>
      <c r="S86" s="4"/>
      <c r="T86" s="4"/>
      <c r="U86"/>
    </row>
    <row r="87" spans="1:21" x14ac:dyDescent="0.25">
      <c r="A87" s="876"/>
      <c r="B87" s="4"/>
      <c r="C87" s="23"/>
      <c r="D87" s="23"/>
      <c r="E87" s="23"/>
      <c r="F87" s="23"/>
      <c r="G87" s="23"/>
      <c r="H87" s="23"/>
      <c r="I87" s="23"/>
      <c r="J87" s="23"/>
      <c r="K87" s="23"/>
      <c r="L87" s="23"/>
      <c r="M87" s="23"/>
      <c r="N87" s="4"/>
      <c r="O87" s="23"/>
      <c r="P87" s="23"/>
      <c r="Q87" s="23"/>
      <c r="R87" s="4"/>
      <c r="S87" s="4"/>
      <c r="T87" s="4"/>
      <c r="U87"/>
    </row>
    <row r="88" spans="1:21" x14ac:dyDescent="0.25">
      <c r="A88" s="876"/>
      <c r="B88" s="4"/>
      <c r="C88" s="23"/>
      <c r="D88" s="23"/>
      <c r="E88" s="23"/>
      <c r="F88" s="23"/>
      <c r="G88" s="23"/>
      <c r="H88" s="23"/>
      <c r="I88" s="23"/>
      <c r="J88" s="23"/>
      <c r="K88" s="23"/>
      <c r="L88" s="23"/>
      <c r="M88" s="23"/>
      <c r="N88" s="4"/>
      <c r="O88" s="23"/>
      <c r="P88" s="23"/>
      <c r="Q88" s="23"/>
      <c r="R88" s="4"/>
      <c r="S88" s="4"/>
      <c r="T88" s="4"/>
      <c r="U88"/>
    </row>
    <row r="89" spans="1:21" x14ac:dyDescent="0.25">
      <c r="A89" s="876"/>
      <c r="B89" s="4"/>
      <c r="C89" s="23"/>
      <c r="D89" s="23"/>
      <c r="E89" s="23"/>
      <c r="F89" s="23"/>
      <c r="G89" s="23"/>
      <c r="H89" s="23"/>
      <c r="I89" s="23"/>
      <c r="J89" s="23"/>
      <c r="K89" s="23"/>
      <c r="L89" s="23"/>
      <c r="M89" s="23"/>
      <c r="N89" s="4"/>
      <c r="O89" s="23"/>
      <c r="P89" s="23"/>
      <c r="Q89" s="23"/>
      <c r="R89" s="4"/>
      <c r="S89" s="4"/>
      <c r="T89" s="4"/>
      <c r="U89"/>
    </row>
    <row r="90" spans="1:21" x14ac:dyDescent="0.25">
      <c r="A90" s="876"/>
      <c r="B90" s="4"/>
      <c r="C90" s="23"/>
      <c r="D90" s="23"/>
      <c r="E90" s="23"/>
      <c r="F90" s="23"/>
      <c r="G90" s="23"/>
      <c r="H90" s="23"/>
      <c r="I90" s="23"/>
      <c r="J90" s="23"/>
      <c r="K90" s="23"/>
      <c r="L90" s="23"/>
      <c r="M90" s="23"/>
      <c r="N90" s="4"/>
      <c r="O90" s="23"/>
      <c r="P90" s="23"/>
      <c r="Q90" s="23"/>
      <c r="R90" s="4"/>
      <c r="S90" s="4"/>
      <c r="T90" s="4"/>
      <c r="U90"/>
    </row>
    <row r="91" spans="1:21" x14ac:dyDescent="0.25">
      <c r="A91" s="876"/>
      <c r="B91" s="4"/>
      <c r="C91" s="23"/>
      <c r="D91" s="23"/>
      <c r="E91" s="23"/>
      <c r="F91" s="23"/>
      <c r="G91" s="23"/>
      <c r="H91" s="23"/>
      <c r="I91" s="23"/>
      <c r="J91" s="23"/>
      <c r="K91" s="23"/>
      <c r="L91" s="23"/>
      <c r="M91" s="23"/>
      <c r="N91" s="4"/>
      <c r="O91" s="23"/>
      <c r="P91" s="23"/>
      <c r="Q91" s="23"/>
      <c r="R91" s="4"/>
      <c r="S91" s="4"/>
      <c r="T91" s="4"/>
      <c r="U91"/>
    </row>
    <row r="92" spans="1:21" x14ac:dyDescent="0.25">
      <c r="A92" s="876"/>
      <c r="B92" s="4"/>
      <c r="C92" s="23"/>
      <c r="D92" s="23"/>
      <c r="E92" s="23"/>
      <c r="F92" s="23"/>
      <c r="G92" s="23"/>
      <c r="H92" s="23"/>
      <c r="I92" s="23"/>
      <c r="J92" s="23"/>
      <c r="K92" s="23"/>
      <c r="L92" s="23"/>
      <c r="M92" s="23"/>
      <c r="N92" s="4"/>
      <c r="O92" s="23"/>
      <c r="P92" s="23"/>
      <c r="Q92" s="23"/>
      <c r="R92" s="4"/>
      <c r="S92" s="4"/>
      <c r="T92" s="4"/>
      <c r="U92"/>
    </row>
    <row r="93" spans="1:21" x14ac:dyDescent="0.25">
      <c r="A93" s="876"/>
      <c r="B93" s="4"/>
      <c r="C93" s="23"/>
      <c r="D93" s="23"/>
      <c r="E93" s="23"/>
      <c r="F93" s="23"/>
      <c r="G93" s="23"/>
      <c r="H93" s="23"/>
      <c r="I93" s="23"/>
      <c r="J93" s="23"/>
      <c r="K93" s="23"/>
      <c r="L93" s="23"/>
      <c r="M93" s="23"/>
      <c r="N93" s="4"/>
      <c r="O93" s="23"/>
      <c r="P93" s="23"/>
      <c r="Q93" s="23"/>
      <c r="R93" s="4"/>
      <c r="S93" s="4"/>
      <c r="T93" s="4"/>
      <c r="U93"/>
    </row>
    <row r="94" spans="1:21" x14ac:dyDescent="0.25">
      <c r="A94" s="876"/>
      <c r="B94" s="4"/>
      <c r="C94" s="23"/>
      <c r="D94" s="23"/>
      <c r="E94" s="23"/>
      <c r="F94" s="23"/>
      <c r="G94" s="23"/>
      <c r="H94" s="23"/>
      <c r="I94" s="23"/>
      <c r="J94" s="23"/>
      <c r="K94" s="23"/>
      <c r="L94" s="23"/>
      <c r="M94" s="23"/>
      <c r="N94" s="4"/>
      <c r="O94" s="23"/>
      <c r="P94" s="23"/>
      <c r="Q94" s="23"/>
      <c r="R94" s="4"/>
      <c r="S94" s="4"/>
      <c r="T94" s="4"/>
      <c r="U94"/>
    </row>
    <row r="95" spans="1:21" x14ac:dyDescent="0.25">
      <c r="A95" s="876"/>
      <c r="B95" s="4"/>
      <c r="C95" s="23"/>
      <c r="D95" s="23"/>
      <c r="E95" s="23"/>
      <c r="F95" s="23"/>
      <c r="G95" s="23"/>
      <c r="H95" s="23"/>
      <c r="I95" s="23"/>
      <c r="J95" s="23"/>
      <c r="K95" s="23"/>
      <c r="L95" s="23"/>
      <c r="M95" s="23"/>
      <c r="N95" s="4"/>
      <c r="O95" s="23"/>
      <c r="P95" s="23"/>
      <c r="Q95" s="23"/>
      <c r="R95" s="4"/>
      <c r="S95" s="4"/>
      <c r="T95" s="4"/>
      <c r="U95"/>
    </row>
    <row r="96" spans="1:21" x14ac:dyDescent="0.25">
      <c r="A96" s="876"/>
      <c r="B96" s="4"/>
      <c r="C96" s="23"/>
      <c r="D96" s="23"/>
      <c r="E96" s="23"/>
      <c r="F96" s="23"/>
      <c r="G96" s="23"/>
      <c r="H96" s="23"/>
      <c r="I96" s="23"/>
      <c r="J96" s="23"/>
      <c r="K96" s="23"/>
      <c r="L96" s="23"/>
      <c r="M96" s="23"/>
      <c r="N96" s="4"/>
      <c r="O96" s="23"/>
      <c r="P96" s="23"/>
      <c r="Q96" s="23"/>
      <c r="R96" s="4"/>
      <c r="S96" s="4"/>
      <c r="T96" s="4"/>
      <c r="U96"/>
    </row>
    <row r="97" spans="1:21" x14ac:dyDescent="0.25">
      <c r="A97" s="876"/>
      <c r="B97" s="4"/>
      <c r="C97" s="23"/>
      <c r="D97" s="23"/>
      <c r="E97" s="23"/>
      <c r="F97" s="23"/>
      <c r="G97" s="23"/>
      <c r="H97" s="23"/>
      <c r="I97" s="23"/>
      <c r="J97" s="23"/>
      <c r="K97" s="23"/>
      <c r="L97" s="23"/>
      <c r="M97" s="23"/>
      <c r="N97" s="4"/>
      <c r="O97" s="23"/>
      <c r="P97" s="23"/>
      <c r="Q97" s="23"/>
      <c r="R97" s="4"/>
      <c r="S97" s="4"/>
      <c r="T97" s="4"/>
      <c r="U97"/>
    </row>
    <row r="98" spans="1:21" x14ac:dyDescent="0.25">
      <c r="A98" s="876"/>
      <c r="B98" s="4"/>
      <c r="C98" s="23"/>
      <c r="D98" s="23"/>
      <c r="E98" s="23"/>
      <c r="F98" s="23"/>
      <c r="G98" s="23"/>
      <c r="H98" s="23"/>
      <c r="I98" s="23"/>
      <c r="J98" s="23"/>
      <c r="K98" s="23"/>
      <c r="L98" s="23"/>
      <c r="M98" s="23"/>
      <c r="N98" s="4"/>
      <c r="O98" s="23"/>
      <c r="P98" s="23"/>
      <c r="Q98" s="23"/>
      <c r="R98" s="4"/>
      <c r="S98" s="4"/>
      <c r="T98" s="4"/>
      <c r="U98"/>
    </row>
    <row r="99" spans="1:21" x14ac:dyDescent="0.25">
      <c r="A99" s="876"/>
      <c r="B99" s="4"/>
      <c r="C99" s="23"/>
      <c r="D99" s="23"/>
      <c r="E99" s="23"/>
      <c r="F99" s="23"/>
      <c r="G99" s="23"/>
      <c r="H99" s="23"/>
      <c r="I99" s="23"/>
      <c r="J99" s="23"/>
      <c r="K99" s="23"/>
      <c r="L99" s="23"/>
      <c r="M99" s="23"/>
      <c r="N99" s="4"/>
      <c r="O99" s="23"/>
      <c r="P99" s="23"/>
      <c r="Q99" s="23"/>
      <c r="R99" s="4"/>
      <c r="S99" s="4"/>
      <c r="T99" s="4"/>
      <c r="U99"/>
    </row>
    <row r="100" spans="1:21" x14ac:dyDescent="0.25">
      <c r="A100" s="876"/>
      <c r="B100" s="4"/>
      <c r="C100" s="23"/>
      <c r="D100" s="23"/>
      <c r="E100" s="23"/>
      <c r="F100" s="23"/>
      <c r="G100" s="23"/>
      <c r="H100" s="23"/>
      <c r="I100" s="23"/>
      <c r="J100" s="23"/>
      <c r="K100" s="23"/>
      <c r="L100" s="23"/>
      <c r="M100" s="23"/>
      <c r="N100" s="4"/>
      <c r="O100" s="23"/>
      <c r="P100" s="23"/>
      <c r="Q100" s="23"/>
      <c r="R100" s="4"/>
      <c r="S100" s="4"/>
      <c r="T100" s="4"/>
      <c r="U100"/>
    </row>
    <row r="101" spans="1:21" x14ac:dyDescent="0.25">
      <c r="A101" s="876"/>
      <c r="B101" s="4"/>
      <c r="C101" s="23"/>
      <c r="D101" s="23"/>
      <c r="E101" s="23"/>
      <c r="F101" s="23"/>
      <c r="G101" s="23"/>
      <c r="H101" s="23"/>
      <c r="I101" s="23"/>
      <c r="J101" s="23"/>
      <c r="K101" s="23"/>
      <c r="L101" s="23"/>
      <c r="M101" s="23"/>
      <c r="N101" s="4"/>
      <c r="O101" s="23"/>
      <c r="P101" s="23"/>
      <c r="Q101" s="23"/>
      <c r="R101" s="4"/>
      <c r="S101" s="4"/>
      <c r="T101" s="4"/>
      <c r="U101"/>
    </row>
    <row r="102" spans="1:21" x14ac:dyDescent="0.25">
      <c r="A102" s="876"/>
      <c r="B102" s="4"/>
      <c r="C102" s="23"/>
      <c r="D102" s="23"/>
      <c r="E102" s="23"/>
      <c r="F102" s="23"/>
      <c r="G102" s="23"/>
      <c r="H102" s="23"/>
      <c r="I102" s="23"/>
      <c r="J102" s="23"/>
      <c r="K102" s="23"/>
      <c r="L102" s="23"/>
      <c r="M102" s="23"/>
      <c r="N102" s="4"/>
      <c r="O102" s="23"/>
      <c r="P102" s="23"/>
      <c r="Q102" s="23"/>
      <c r="R102" s="4"/>
      <c r="S102" s="4"/>
      <c r="T102" s="4"/>
      <c r="U102"/>
    </row>
    <row r="103" spans="1:21" x14ac:dyDescent="0.25">
      <c r="A103" s="876"/>
      <c r="B103" s="4"/>
      <c r="C103" s="23"/>
      <c r="D103" s="23"/>
      <c r="E103" s="23"/>
      <c r="F103" s="23"/>
      <c r="G103" s="23"/>
      <c r="H103" s="23"/>
      <c r="I103" s="23"/>
      <c r="J103" s="23"/>
      <c r="K103" s="23"/>
      <c r="L103" s="23"/>
      <c r="M103" s="23"/>
      <c r="N103" s="4"/>
      <c r="O103" s="23"/>
      <c r="P103" s="23"/>
      <c r="Q103" s="23"/>
      <c r="R103" s="4"/>
      <c r="S103" s="4"/>
      <c r="T103" s="4"/>
      <c r="U103"/>
    </row>
    <row r="104" spans="1:21" x14ac:dyDescent="0.25">
      <c r="A104" s="876"/>
      <c r="B104" s="4"/>
      <c r="C104" s="23"/>
      <c r="D104" s="23"/>
      <c r="E104" s="23"/>
      <c r="F104" s="23"/>
      <c r="G104" s="23"/>
      <c r="H104" s="23"/>
      <c r="I104" s="23"/>
      <c r="J104" s="23"/>
      <c r="K104" s="23"/>
      <c r="L104" s="23"/>
      <c r="M104" s="23"/>
      <c r="N104" s="4"/>
      <c r="O104" s="23"/>
      <c r="P104" s="23"/>
      <c r="Q104" s="23"/>
      <c r="R104" s="4"/>
      <c r="S104" s="4"/>
      <c r="T104" s="4"/>
      <c r="U104"/>
    </row>
    <row r="105" spans="1:21" x14ac:dyDescent="0.25">
      <c r="A105" s="876"/>
      <c r="B105" s="4"/>
      <c r="C105" s="23"/>
      <c r="D105" s="23"/>
      <c r="E105" s="23"/>
      <c r="F105" s="23"/>
      <c r="G105" s="23"/>
      <c r="H105" s="23"/>
      <c r="I105" s="23"/>
      <c r="J105" s="23"/>
      <c r="K105" s="23"/>
      <c r="L105" s="23"/>
      <c r="M105" s="23"/>
      <c r="N105" s="4"/>
      <c r="O105" s="23"/>
      <c r="P105" s="23"/>
      <c r="Q105" s="23"/>
      <c r="R105" s="4"/>
      <c r="S105" s="4"/>
      <c r="T105" s="4"/>
      <c r="U105"/>
    </row>
    <row r="106" spans="1:21" x14ac:dyDescent="0.25">
      <c r="A106" s="876"/>
      <c r="B106" s="4"/>
      <c r="C106" s="23"/>
      <c r="D106" s="23"/>
      <c r="E106" s="23"/>
      <c r="F106" s="23"/>
      <c r="G106" s="23"/>
      <c r="H106" s="23"/>
      <c r="I106" s="23"/>
      <c r="J106" s="23"/>
      <c r="K106" s="23"/>
      <c r="L106" s="23"/>
      <c r="M106" s="23"/>
      <c r="N106" s="4"/>
      <c r="O106" s="23"/>
      <c r="P106" s="23"/>
      <c r="Q106" s="23"/>
      <c r="R106" s="4"/>
      <c r="S106" s="4"/>
      <c r="T106" s="4"/>
      <c r="U106"/>
    </row>
    <row r="107" spans="1:21" x14ac:dyDescent="0.25">
      <c r="A107" s="876"/>
      <c r="B107" s="4"/>
      <c r="C107" s="23"/>
      <c r="D107" s="23"/>
      <c r="E107" s="23"/>
      <c r="F107" s="23"/>
      <c r="G107" s="23"/>
      <c r="H107" s="23"/>
      <c r="I107" s="23"/>
      <c r="J107" s="23"/>
      <c r="K107" s="23"/>
      <c r="L107" s="23"/>
      <c r="M107" s="23"/>
      <c r="N107" s="4"/>
      <c r="O107" s="23"/>
      <c r="P107" s="23"/>
      <c r="Q107" s="23"/>
      <c r="R107" s="4"/>
      <c r="S107" s="4"/>
      <c r="T107" s="4"/>
      <c r="U107"/>
    </row>
    <row r="108" spans="1:21" x14ac:dyDescent="0.25">
      <c r="A108" s="876"/>
      <c r="B108" s="4"/>
      <c r="C108" s="23"/>
      <c r="D108" s="23"/>
      <c r="E108" s="23"/>
      <c r="F108" s="23"/>
      <c r="G108" s="23"/>
      <c r="H108" s="23"/>
      <c r="I108" s="23"/>
      <c r="J108" s="23"/>
      <c r="K108" s="23"/>
      <c r="L108" s="23"/>
      <c r="M108" s="23"/>
      <c r="N108" s="4"/>
      <c r="O108" s="23"/>
      <c r="P108" s="23"/>
      <c r="Q108" s="23"/>
      <c r="R108" s="4"/>
      <c r="S108" s="4"/>
      <c r="T108" s="4"/>
      <c r="U108"/>
    </row>
    <row r="109" spans="1:21" x14ac:dyDescent="0.25">
      <c r="A109" s="876"/>
      <c r="B109" s="4"/>
      <c r="C109" s="23"/>
      <c r="D109" s="23"/>
      <c r="E109" s="23"/>
      <c r="F109" s="23"/>
      <c r="G109" s="23"/>
      <c r="H109" s="23"/>
      <c r="I109" s="23"/>
      <c r="J109" s="23"/>
      <c r="K109" s="23"/>
      <c r="L109" s="23"/>
      <c r="M109" s="23"/>
      <c r="N109" s="4"/>
      <c r="O109" s="23"/>
      <c r="P109" s="23"/>
      <c r="Q109" s="23"/>
      <c r="R109" s="4"/>
      <c r="S109" s="4"/>
      <c r="T109" s="4"/>
      <c r="U109"/>
    </row>
    <row r="110" spans="1:21" x14ac:dyDescent="0.25">
      <c r="A110" s="876"/>
      <c r="B110" s="4"/>
      <c r="C110" s="23"/>
      <c r="D110" s="23"/>
      <c r="E110" s="23"/>
      <c r="F110" s="23"/>
      <c r="G110" s="23"/>
      <c r="H110" s="23"/>
      <c r="I110" s="23"/>
      <c r="J110" s="23"/>
      <c r="K110" s="23"/>
      <c r="L110" s="23"/>
      <c r="M110" s="23"/>
      <c r="N110" s="4"/>
      <c r="O110" s="23"/>
      <c r="P110" s="23"/>
      <c r="Q110" s="23"/>
      <c r="R110" s="4"/>
      <c r="S110" s="4"/>
      <c r="T110" s="4"/>
      <c r="U110"/>
    </row>
    <row r="111" spans="1:21" x14ac:dyDescent="0.25">
      <c r="A111" s="876"/>
      <c r="B111" s="4"/>
      <c r="C111" s="23"/>
      <c r="D111" s="23"/>
      <c r="E111" s="23"/>
      <c r="F111" s="23"/>
      <c r="G111" s="23"/>
      <c r="H111" s="23"/>
      <c r="I111" s="23"/>
      <c r="J111" s="23"/>
      <c r="K111" s="23"/>
      <c r="L111" s="23"/>
      <c r="M111" s="23"/>
      <c r="N111" s="4"/>
      <c r="O111" s="23"/>
      <c r="P111" s="23"/>
      <c r="Q111" s="23"/>
      <c r="R111" s="4"/>
      <c r="S111" s="4"/>
      <c r="T111" s="4"/>
      <c r="U111"/>
    </row>
    <row r="112" spans="1:21" x14ac:dyDescent="0.25">
      <c r="A112" s="876"/>
      <c r="B112" s="4"/>
      <c r="C112" s="23"/>
      <c r="D112" s="23"/>
      <c r="E112" s="23"/>
      <c r="F112" s="23"/>
      <c r="G112" s="23"/>
      <c r="H112" s="23"/>
      <c r="I112" s="23"/>
      <c r="J112" s="23"/>
      <c r="K112" s="23"/>
      <c r="L112" s="23"/>
      <c r="M112" s="23"/>
      <c r="N112" s="4"/>
      <c r="O112" s="23"/>
      <c r="P112" s="23"/>
      <c r="Q112" s="23"/>
      <c r="R112" s="4"/>
      <c r="S112" s="4"/>
      <c r="T112" s="4"/>
      <c r="U112"/>
    </row>
    <row r="113" spans="1:21" x14ac:dyDescent="0.25">
      <c r="A113" s="876"/>
      <c r="B113" s="4"/>
      <c r="C113" s="23"/>
      <c r="D113" s="23"/>
      <c r="E113" s="23"/>
      <c r="F113" s="23"/>
      <c r="G113" s="23"/>
      <c r="H113" s="23"/>
      <c r="I113" s="23"/>
      <c r="J113" s="23"/>
      <c r="K113" s="23"/>
      <c r="L113" s="23"/>
      <c r="M113" s="23"/>
      <c r="N113" s="4"/>
      <c r="O113" s="23"/>
      <c r="P113" s="23"/>
      <c r="Q113" s="23"/>
      <c r="R113" s="4"/>
      <c r="S113" s="4"/>
      <c r="T113" s="4"/>
      <c r="U113"/>
    </row>
    <row r="114" spans="1:21" x14ac:dyDescent="0.25">
      <c r="A114" s="876"/>
      <c r="B114" s="4"/>
      <c r="C114" s="23"/>
      <c r="D114" s="23"/>
      <c r="E114" s="23"/>
      <c r="F114" s="23"/>
      <c r="G114" s="23"/>
      <c r="H114" s="23"/>
      <c r="I114" s="23"/>
      <c r="J114" s="23"/>
      <c r="K114" s="23"/>
      <c r="L114" s="23"/>
      <c r="M114" s="23"/>
      <c r="N114" s="4"/>
      <c r="O114" s="23"/>
      <c r="P114" s="23"/>
      <c r="Q114" s="23"/>
      <c r="R114" s="4"/>
      <c r="S114" s="4"/>
      <c r="T114" s="4"/>
      <c r="U114"/>
    </row>
    <row r="115" spans="1:21" x14ac:dyDescent="0.25">
      <c r="A115" s="876"/>
      <c r="B115" s="4"/>
      <c r="C115" s="23"/>
      <c r="D115" s="23"/>
      <c r="E115" s="23"/>
      <c r="F115" s="23"/>
      <c r="G115" s="23"/>
      <c r="H115" s="23"/>
      <c r="I115" s="23"/>
      <c r="J115" s="23"/>
      <c r="K115" s="23"/>
      <c r="L115" s="23"/>
      <c r="M115" s="23"/>
      <c r="N115" s="4"/>
      <c r="O115" s="23"/>
      <c r="P115" s="23"/>
      <c r="Q115" s="23"/>
      <c r="R115" s="4"/>
      <c r="S115" s="4"/>
      <c r="T115" s="4"/>
      <c r="U115"/>
    </row>
    <row r="116" spans="1:21" x14ac:dyDescent="0.25">
      <c r="A116" s="876"/>
      <c r="B116" s="4"/>
      <c r="C116" s="23"/>
      <c r="D116" s="23"/>
      <c r="E116" s="23"/>
      <c r="F116" s="23"/>
      <c r="G116" s="23"/>
      <c r="H116" s="23"/>
      <c r="I116" s="23"/>
      <c r="J116" s="23"/>
      <c r="K116" s="23"/>
      <c r="L116" s="23"/>
      <c r="M116" s="23"/>
      <c r="N116" s="4"/>
      <c r="O116" s="23"/>
      <c r="P116" s="23"/>
      <c r="Q116" s="23"/>
      <c r="R116" s="4"/>
      <c r="S116" s="4"/>
      <c r="T116" s="4"/>
      <c r="U116"/>
    </row>
    <row r="117" spans="1:21" x14ac:dyDescent="0.25">
      <c r="A117" s="876"/>
      <c r="B117" s="4"/>
      <c r="C117" s="23"/>
      <c r="D117" s="23"/>
      <c r="E117" s="23"/>
      <c r="F117" s="23"/>
      <c r="G117" s="23"/>
      <c r="H117" s="23"/>
      <c r="I117" s="23"/>
      <c r="J117" s="23"/>
      <c r="K117" s="23"/>
      <c r="L117" s="23"/>
      <c r="M117" s="23"/>
      <c r="N117" s="4"/>
      <c r="O117" s="23"/>
      <c r="P117" s="23"/>
      <c r="Q117" s="23"/>
      <c r="R117" s="4"/>
      <c r="S117" s="4"/>
      <c r="T117" s="4"/>
      <c r="U117"/>
    </row>
    <row r="118" spans="1:21" x14ac:dyDescent="0.25">
      <c r="A118" s="876"/>
      <c r="B118" s="4"/>
      <c r="C118" s="23"/>
      <c r="D118" s="23"/>
      <c r="E118" s="23"/>
      <c r="F118" s="23"/>
      <c r="G118" s="23"/>
      <c r="H118" s="23"/>
      <c r="I118" s="23"/>
      <c r="J118" s="23"/>
      <c r="K118" s="23"/>
      <c r="L118" s="23"/>
      <c r="M118" s="23"/>
      <c r="N118" s="4"/>
      <c r="O118" s="23"/>
      <c r="P118" s="23"/>
      <c r="Q118" s="23"/>
      <c r="R118" s="4"/>
      <c r="S118" s="4"/>
      <c r="T118" s="4"/>
      <c r="U118"/>
    </row>
    <row r="119" spans="1:21" x14ac:dyDescent="0.25">
      <c r="A119" s="876"/>
      <c r="B119" s="4"/>
      <c r="C119" s="23"/>
      <c r="D119" s="23"/>
      <c r="E119" s="23"/>
      <c r="F119" s="23"/>
      <c r="G119" s="23"/>
      <c r="H119" s="23"/>
      <c r="I119" s="23"/>
      <c r="J119" s="23"/>
      <c r="K119" s="23"/>
      <c r="L119" s="23"/>
      <c r="M119" s="23"/>
      <c r="N119" s="4"/>
      <c r="O119" s="23"/>
      <c r="P119" s="23"/>
      <c r="Q119" s="23"/>
      <c r="R119" s="4"/>
      <c r="S119" s="4"/>
      <c r="T119" s="4"/>
      <c r="U119"/>
    </row>
    <row r="120" spans="1:21" x14ac:dyDescent="0.25">
      <c r="C120" s="114"/>
      <c r="U120"/>
    </row>
    <row r="121" spans="1:21" x14ac:dyDescent="0.25">
      <c r="C121" s="114"/>
      <c r="U121"/>
    </row>
    <row r="122" spans="1:21" x14ac:dyDescent="0.25">
      <c r="C122" s="114"/>
      <c r="U122"/>
    </row>
    <row r="123" spans="1:21" x14ac:dyDescent="0.25">
      <c r="C123" s="114"/>
      <c r="U123"/>
    </row>
    <row r="124" spans="1:21" x14ac:dyDescent="0.25">
      <c r="C124" s="114"/>
      <c r="U124"/>
    </row>
    <row r="125" spans="1:21" x14ac:dyDescent="0.25">
      <c r="C125" s="114"/>
      <c r="U125"/>
    </row>
    <row r="126" spans="1:21" x14ac:dyDescent="0.25">
      <c r="C126" s="114"/>
      <c r="U126"/>
    </row>
    <row r="127" spans="1:21" x14ac:dyDescent="0.25">
      <c r="C127" s="114"/>
      <c r="U127"/>
    </row>
    <row r="128" spans="1:21" x14ac:dyDescent="0.25">
      <c r="C128" s="114"/>
      <c r="U128"/>
    </row>
    <row r="129" spans="3:21" x14ac:dyDescent="0.25">
      <c r="C129" s="114"/>
      <c r="U129"/>
    </row>
    <row r="130" spans="3:21" x14ac:dyDescent="0.25">
      <c r="C130" s="114"/>
      <c r="U130"/>
    </row>
    <row r="131" spans="3:21" x14ac:dyDescent="0.25">
      <c r="C131" s="114"/>
      <c r="D131"/>
      <c r="E131"/>
      <c r="F131"/>
      <c r="G131"/>
      <c r="H131"/>
      <c r="I131"/>
      <c r="J131"/>
      <c r="K131"/>
      <c r="L131"/>
      <c r="M131"/>
      <c r="O131"/>
      <c r="P131"/>
      <c r="Q131"/>
      <c r="U131"/>
    </row>
    <row r="132" spans="3:21" x14ac:dyDescent="0.25">
      <c r="C132" s="114"/>
      <c r="D132"/>
      <c r="E132"/>
      <c r="F132"/>
      <c r="G132"/>
      <c r="H132"/>
      <c r="I132"/>
      <c r="J132"/>
      <c r="K132"/>
      <c r="L132"/>
      <c r="M132"/>
      <c r="O132"/>
      <c r="P132"/>
      <c r="Q132"/>
      <c r="U132"/>
    </row>
    <row r="133" spans="3:21" x14ac:dyDescent="0.25">
      <c r="C133" s="114"/>
      <c r="D133"/>
      <c r="E133"/>
      <c r="F133"/>
      <c r="G133"/>
      <c r="H133"/>
      <c r="I133"/>
      <c r="J133"/>
      <c r="K133"/>
      <c r="L133"/>
      <c r="M133"/>
      <c r="O133"/>
      <c r="P133"/>
      <c r="Q133"/>
      <c r="U133"/>
    </row>
    <row r="134" spans="3:21" x14ac:dyDescent="0.25">
      <c r="C134" s="114"/>
      <c r="D134"/>
      <c r="E134"/>
      <c r="F134"/>
      <c r="G134"/>
      <c r="H134"/>
      <c r="I134"/>
      <c r="J134"/>
      <c r="K134"/>
      <c r="L134"/>
      <c r="M134"/>
      <c r="O134"/>
      <c r="P134"/>
      <c r="Q134"/>
      <c r="U134"/>
    </row>
    <row r="135" spans="3:21" x14ac:dyDescent="0.25">
      <c r="C135" s="114"/>
      <c r="D135"/>
      <c r="E135"/>
      <c r="F135"/>
      <c r="G135"/>
      <c r="H135"/>
      <c r="I135"/>
      <c r="J135"/>
      <c r="K135"/>
      <c r="L135"/>
      <c r="M135"/>
      <c r="O135"/>
      <c r="P135"/>
      <c r="Q135"/>
      <c r="U135"/>
    </row>
    <row r="136" spans="3:21" x14ac:dyDescent="0.25">
      <c r="C136" s="114"/>
      <c r="D136"/>
      <c r="E136"/>
      <c r="F136"/>
      <c r="G136"/>
      <c r="H136"/>
      <c r="I136"/>
      <c r="J136"/>
      <c r="K136"/>
      <c r="L136"/>
      <c r="M136"/>
      <c r="O136"/>
      <c r="P136"/>
      <c r="Q136"/>
      <c r="U136"/>
    </row>
    <row r="137" spans="3:21" x14ac:dyDescent="0.25">
      <c r="C137" s="114"/>
      <c r="D137"/>
      <c r="E137"/>
      <c r="F137"/>
      <c r="G137"/>
      <c r="H137"/>
      <c r="I137"/>
      <c r="J137"/>
      <c r="K137"/>
      <c r="L137"/>
      <c r="M137"/>
      <c r="O137"/>
      <c r="P137"/>
      <c r="Q137"/>
      <c r="U137"/>
    </row>
    <row r="138" spans="3:21" x14ac:dyDescent="0.25">
      <c r="C138" s="114"/>
      <c r="D138"/>
      <c r="E138"/>
      <c r="F138"/>
      <c r="G138"/>
      <c r="H138"/>
      <c r="I138"/>
      <c r="J138"/>
      <c r="K138"/>
      <c r="L138"/>
      <c r="M138"/>
      <c r="O138"/>
      <c r="P138"/>
      <c r="Q138"/>
      <c r="U138"/>
    </row>
    <row r="139" spans="3:21" x14ac:dyDescent="0.25">
      <c r="C139" s="114"/>
      <c r="D139"/>
      <c r="E139"/>
      <c r="F139"/>
      <c r="G139"/>
      <c r="H139"/>
      <c r="I139"/>
      <c r="J139"/>
      <c r="K139"/>
      <c r="L139"/>
      <c r="M139"/>
      <c r="O139"/>
      <c r="P139"/>
      <c r="Q139"/>
      <c r="U139"/>
    </row>
    <row r="140" spans="3:21" x14ac:dyDescent="0.25">
      <c r="C140" s="114"/>
      <c r="D140"/>
      <c r="E140"/>
      <c r="F140"/>
      <c r="G140"/>
      <c r="H140"/>
      <c r="I140"/>
      <c r="J140"/>
      <c r="K140"/>
      <c r="L140"/>
      <c r="M140"/>
      <c r="O140"/>
      <c r="P140"/>
      <c r="Q140"/>
      <c r="U140"/>
    </row>
    <row r="141" spans="3:21" x14ac:dyDescent="0.25">
      <c r="C141" s="114"/>
      <c r="D141"/>
      <c r="E141"/>
      <c r="F141"/>
      <c r="G141"/>
      <c r="H141"/>
      <c r="I141"/>
      <c r="J141"/>
      <c r="K141"/>
      <c r="L141"/>
      <c r="M141"/>
      <c r="O141"/>
      <c r="P141"/>
      <c r="Q141"/>
      <c r="U141"/>
    </row>
    <row r="142" spans="3:21" x14ac:dyDescent="0.25">
      <c r="C142" s="114"/>
      <c r="D142"/>
      <c r="E142"/>
      <c r="F142"/>
      <c r="G142"/>
      <c r="H142"/>
      <c r="I142"/>
      <c r="J142"/>
      <c r="K142"/>
      <c r="L142"/>
      <c r="M142"/>
      <c r="O142"/>
      <c r="P142"/>
      <c r="Q142"/>
      <c r="U142"/>
    </row>
    <row r="143" spans="3:21" x14ac:dyDescent="0.25">
      <c r="C143" s="114"/>
      <c r="D143"/>
      <c r="E143"/>
      <c r="F143"/>
      <c r="G143"/>
      <c r="H143"/>
      <c r="I143"/>
      <c r="J143"/>
      <c r="K143"/>
      <c r="L143"/>
      <c r="M143"/>
      <c r="O143"/>
      <c r="P143"/>
      <c r="Q143"/>
      <c r="U143"/>
    </row>
    <row r="144" spans="3:21" x14ac:dyDescent="0.25">
      <c r="C144" s="114"/>
      <c r="D144"/>
      <c r="E144"/>
      <c r="F144"/>
      <c r="G144"/>
      <c r="H144"/>
      <c r="I144"/>
      <c r="J144"/>
      <c r="K144"/>
      <c r="L144"/>
      <c r="M144"/>
      <c r="O144"/>
      <c r="P144"/>
      <c r="Q144"/>
      <c r="U144"/>
    </row>
    <row r="145" spans="3:21" x14ac:dyDescent="0.25">
      <c r="C145" s="114"/>
      <c r="D145"/>
      <c r="E145"/>
      <c r="F145"/>
      <c r="G145"/>
      <c r="H145"/>
      <c r="I145"/>
      <c r="J145"/>
      <c r="K145"/>
      <c r="L145"/>
      <c r="M145"/>
      <c r="O145"/>
      <c r="P145"/>
      <c r="Q145"/>
      <c r="U145"/>
    </row>
    <row r="146" spans="3:21" x14ac:dyDescent="0.25">
      <c r="C146" s="114"/>
      <c r="D146"/>
      <c r="E146"/>
      <c r="F146"/>
      <c r="G146"/>
      <c r="H146"/>
      <c r="I146"/>
      <c r="J146"/>
      <c r="K146"/>
      <c r="L146"/>
      <c r="M146"/>
      <c r="O146"/>
      <c r="P146"/>
      <c r="Q146"/>
      <c r="U146"/>
    </row>
    <row r="147" spans="3:21" x14ac:dyDescent="0.25">
      <c r="C147" s="114"/>
      <c r="D147"/>
      <c r="E147"/>
      <c r="F147"/>
      <c r="G147"/>
      <c r="H147"/>
      <c r="I147"/>
      <c r="J147"/>
      <c r="K147"/>
      <c r="L147"/>
      <c r="M147"/>
      <c r="O147"/>
      <c r="P147"/>
      <c r="Q147"/>
      <c r="U147"/>
    </row>
    <row r="148" spans="3:21" x14ac:dyDescent="0.25">
      <c r="C148" s="114"/>
      <c r="D148"/>
      <c r="E148"/>
      <c r="F148"/>
      <c r="G148"/>
      <c r="H148"/>
      <c r="I148"/>
      <c r="J148"/>
      <c r="K148"/>
      <c r="L148"/>
      <c r="M148"/>
      <c r="O148"/>
      <c r="P148"/>
      <c r="Q148"/>
      <c r="U148"/>
    </row>
    <row r="149" spans="3:21" x14ac:dyDescent="0.25">
      <c r="C149" s="114"/>
      <c r="D149"/>
      <c r="E149"/>
      <c r="F149"/>
      <c r="G149"/>
      <c r="H149"/>
      <c r="I149"/>
      <c r="J149"/>
      <c r="K149"/>
      <c r="L149"/>
      <c r="M149"/>
      <c r="O149"/>
      <c r="P149"/>
      <c r="Q149"/>
      <c r="U149"/>
    </row>
    <row r="150" spans="3:21" x14ac:dyDescent="0.25">
      <c r="C150" s="114"/>
      <c r="D150"/>
      <c r="E150"/>
      <c r="F150"/>
      <c r="G150"/>
      <c r="H150"/>
      <c r="I150"/>
      <c r="J150"/>
      <c r="K150"/>
      <c r="L150"/>
      <c r="M150"/>
      <c r="O150"/>
      <c r="P150"/>
      <c r="Q150"/>
      <c r="U150"/>
    </row>
    <row r="151" spans="3:21" x14ac:dyDescent="0.25">
      <c r="C151" s="114"/>
      <c r="D151"/>
      <c r="E151"/>
      <c r="F151"/>
      <c r="G151"/>
      <c r="H151"/>
      <c r="I151"/>
      <c r="J151"/>
      <c r="K151"/>
      <c r="L151"/>
      <c r="M151"/>
      <c r="O151"/>
      <c r="P151"/>
      <c r="Q151"/>
      <c r="U151"/>
    </row>
    <row r="152" spans="3:21" x14ac:dyDescent="0.25">
      <c r="C152" s="114"/>
      <c r="D152"/>
      <c r="E152"/>
      <c r="F152"/>
      <c r="G152"/>
      <c r="H152"/>
      <c r="I152"/>
      <c r="J152"/>
      <c r="K152"/>
      <c r="L152"/>
      <c r="M152"/>
      <c r="O152"/>
      <c r="P152"/>
      <c r="Q152"/>
      <c r="U152"/>
    </row>
    <row r="153" spans="3:21" x14ac:dyDescent="0.25">
      <c r="C153" s="114"/>
      <c r="D153"/>
      <c r="E153"/>
      <c r="F153"/>
      <c r="G153"/>
      <c r="H153"/>
      <c r="I153"/>
      <c r="J153"/>
      <c r="K153"/>
      <c r="L153"/>
      <c r="M153"/>
      <c r="O153"/>
      <c r="P153"/>
      <c r="Q153"/>
      <c r="U153"/>
    </row>
    <row r="154" spans="3:21" x14ac:dyDescent="0.25">
      <c r="C154" s="114"/>
      <c r="D154"/>
      <c r="E154"/>
      <c r="F154"/>
      <c r="G154"/>
      <c r="H154"/>
      <c r="I154"/>
      <c r="J154"/>
      <c r="K154"/>
      <c r="L154"/>
      <c r="M154"/>
      <c r="O154"/>
      <c r="P154"/>
      <c r="Q154"/>
      <c r="U154"/>
    </row>
    <row r="155" spans="3:21" x14ac:dyDescent="0.25">
      <c r="C155" s="114"/>
      <c r="D155"/>
      <c r="E155"/>
      <c r="F155"/>
      <c r="G155"/>
      <c r="H155"/>
      <c r="I155"/>
      <c r="J155"/>
      <c r="K155"/>
      <c r="L155"/>
      <c r="M155"/>
      <c r="O155"/>
      <c r="P155"/>
      <c r="Q155"/>
      <c r="U155"/>
    </row>
    <row r="156" spans="3:21" x14ac:dyDescent="0.25">
      <c r="C156" s="114"/>
      <c r="D156"/>
      <c r="E156"/>
      <c r="F156"/>
      <c r="G156"/>
      <c r="H156"/>
      <c r="I156"/>
      <c r="J156"/>
      <c r="K156"/>
      <c r="L156"/>
      <c r="M156"/>
      <c r="O156"/>
      <c r="P156"/>
      <c r="Q156"/>
      <c r="U156"/>
    </row>
    <row r="157" spans="3:21" x14ac:dyDescent="0.25">
      <c r="C157" s="114"/>
      <c r="D157"/>
      <c r="E157"/>
      <c r="F157"/>
      <c r="G157"/>
      <c r="H157"/>
      <c r="I157"/>
      <c r="J157"/>
      <c r="K157"/>
      <c r="L157"/>
      <c r="M157"/>
      <c r="O157"/>
      <c r="P157"/>
      <c r="Q157"/>
      <c r="U157"/>
    </row>
    <row r="158" spans="3:21" x14ac:dyDescent="0.25">
      <c r="C158" s="114"/>
      <c r="D158"/>
      <c r="E158"/>
      <c r="F158"/>
      <c r="G158"/>
      <c r="H158"/>
      <c r="I158"/>
      <c r="J158"/>
      <c r="K158"/>
      <c r="L158"/>
      <c r="M158"/>
      <c r="O158"/>
      <c r="P158"/>
      <c r="Q158"/>
      <c r="U158"/>
    </row>
    <row r="159" spans="3:21" x14ac:dyDescent="0.25">
      <c r="C159" s="114"/>
      <c r="D159"/>
      <c r="E159"/>
      <c r="F159"/>
      <c r="G159"/>
      <c r="H159"/>
      <c r="I159"/>
      <c r="J159"/>
      <c r="K159"/>
      <c r="L159"/>
      <c r="M159"/>
      <c r="O159"/>
      <c r="P159"/>
      <c r="Q159"/>
      <c r="U159"/>
    </row>
    <row r="160" spans="3:21" x14ac:dyDescent="0.25">
      <c r="C160" s="114"/>
      <c r="D160"/>
      <c r="E160"/>
      <c r="F160"/>
      <c r="G160"/>
      <c r="H160"/>
      <c r="I160"/>
      <c r="J160"/>
      <c r="K160"/>
      <c r="L160"/>
      <c r="M160"/>
      <c r="O160"/>
      <c r="P160"/>
      <c r="Q160"/>
      <c r="U160"/>
    </row>
    <row r="161" spans="3:21" x14ac:dyDescent="0.25">
      <c r="C161" s="114"/>
      <c r="D161"/>
      <c r="E161"/>
      <c r="F161"/>
      <c r="G161"/>
      <c r="H161"/>
      <c r="I161"/>
      <c r="J161"/>
      <c r="K161"/>
      <c r="L161"/>
      <c r="M161"/>
      <c r="O161"/>
      <c r="P161"/>
      <c r="Q161"/>
      <c r="U161"/>
    </row>
    <row r="162" spans="3:21" x14ac:dyDescent="0.25">
      <c r="C162" s="114"/>
      <c r="D162"/>
      <c r="E162"/>
      <c r="F162"/>
      <c r="G162"/>
      <c r="H162"/>
      <c r="I162"/>
      <c r="J162"/>
      <c r="K162"/>
      <c r="L162"/>
      <c r="M162"/>
      <c r="O162"/>
      <c r="P162"/>
      <c r="Q162"/>
      <c r="U162"/>
    </row>
    <row r="163" spans="3:21" x14ac:dyDescent="0.25">
      <c r="C163" s="114"/>
      <c r="D163"/>
      <c r="E163"/>
      <c r="F163"/>
      <c r="G163"/>
      <c r="H163"/>
      <c r="I163"/>
      <c r="J163"/>
      <c r="K163"/>
      <c r="L163"/>
      <c r="M163"/>
      <c r="O163"/>
      <c r="P163"/>
      <c r="Q163"/>
      <c r="U163"/>
    </row>
    <row r="164" spans="3:21" x14ac:dyDescent="0.25">
      <c r="C164" s="114"/>
      <c r="D164"/>
      <c r="E164"/>
      <c r="F164"/>
      <c r="G164"/>
      <c r="H164"/>
      <c r="I164"/>
      <c r="J164"/>
      <c r="K164"/>
      <c r="L164"/>
      <c r="M164"/>
      <c r="O164"/>
      <c r="P164"/>
      <c r="Q164"/>
      <c r="U164"/>
    </row>
    <row r="165" spans="3:21" x14ac:dyDescent="0.25">
      <c r="C165" s="114"/>
      <c r="D165"/>
      <c r="E165"/>
      <c r="F165"/>
      <c r="G165"/>
      <c r="H165"/>
      <c r="I165"/>
      <c r="J165"/>
      <c r="K165"/>
      <c r="L165"/>
      <c r="M165"/>
      <c r="O165"/>
      <c r="P165"/>
      <c r="Q165"/>
      <c r="U165"/>
    </row>
    <row r="166" spans="3:21" x14ac:dyDescent="0.25">
      <c r="C166" s="114"/>
      <c r="D166"/>
      <c r="E166"/>
      <c r="F166"/>
      <c r="G166"/>
      <c r="H166"/>
      <c r="I166"/>
      <c r="J166"/>
      <c r="K166"/>
      <c r="L166"/>
      <c r="M166"/>
      <c r="O166"/>
      <c r="P166"/>
      <c r="Q166"/>
      <c r="U166"/>
    </row>
    <row r="167" spans="3:21" x14ac:dyDescent="0.25">
      <c r="C167" s="114"/>
      <c r="D167"/>
      <c r="E167"/>
      <c r="F167"/>
      <c r="G167"/>
      <c r="H167"/>
      <c r="I167"/>
      <c r="J167"/>
      <c r="K167"/>
      <c r="L167"/>
      <c r="M167"/>
      <c r="O167"/>
      <c r="P167"/>
      <c r="Q167"/>
      <c r="U167"/>
    </row>
    <row r="168" spans="3:21" x14ac:dyDescent="0.25">
      <c r="C168" s="114"/>
      <c r="D168"/>
      <c r="E168"/>
      <c r="F168"/>
      <c r="G168"/>
      <c r="H168"/>
      <c r="I168"/>
      <c r="J168"/>
      <c r="K168"/>
      <c r="L168"/>
      <c r="M168"/>
      <c r="O168"/>
      <c r="P168"/>
      <c r="Q168"/>
      <c r="U168"/>
    </row>
    <row r="169" spans="3:21" x14ac:dyDescent="0.25">
      <c r="C169" s="114"/>
      <c r="D169"/>
      <c r="E169"/>
      <c r="F169"/>
      <c r="G169"/>
      <c r="H169"/>
      <c r="I169"/>
      <c r="J169"/>
      <c r="K169"/>
      <c r="L169"/>
      <c r="M169"/>
      <c r="O169"/>
      <c r="P169"/>
      <c r="Q169"/>
      <c r="U169"/>
    </row>
    <row r="170" spans="3:21" x14ac:dyDescent="0.25">
      <c r="C170" s="114"/>
      <c r="D170"/>
      <c r="E170"/>
      <c r="F170"/>
      <c r="G170"/>
      <c r="H170"/>
      <c r="I170"/>
      <c r="J170"/>
      <c r="K170"/>
      <c r="L170"/>
      <c r="M170"/>
      <c r="O170"/>
      <c r="P170"/>
      <c r="Q170"/>
      <c r="U170"/>
    </row>
  </sheetData>
  <phoneticPr fontId="0" type="noConversion"/>
  <hyperlinks>
    <hyperlink ref="A1" location="'Working Budget with funding det'!A1" display="Main " xr:uid="{00000000-0004-0000-2E00-000000000000}"/>
    <hyperlink ref="B1" location="'Table of Contents'!A1" display="TOC" xr:uid="{00000000-0004-0000-2E00-000001000000}"/>
  </hyperlinks>
  <pageMargins left="0.75" right="0.75" top="1" bottom="1" header="0.5" footer="0.5"/>
  <pageSetup fitToHeight="2" orientation="landscape" horizontalDpi="300" verticalDpi="300" r:id="rId1"/>
  <headerFooter alignWithMargins="0">
    <oddFooter>&amp;L&amp;D     &amp;T&amp;C&amp;F&amp;R&amp;A</oddFooter>
  </headerFooter>
  <rowBreaks count="1" manualBreakCount="1">
    <brk id="33" max="8"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92D050"/>
    <pageSetUpPr fitToPage="1"/>
  </sheetPr>
  <dimension ref="A1:P30"/>
  <sheetViews>
    <sheetView topLeftCell="A5" workbookViewId="0">
      <selection activeCell="P5" sqref="P1:P1048576"/>
    </sheetView>
  </sheetViews>
  <sheetFormatPr defaultRowHeight="13.2" x14ac:dyDescent="0.25"/>
  <cols>
    <col min="1" max="1" width="8.77734375" style="885"/>
    <col min="2" max="2" width="35.77734375" customWidth="1"/>
    <col min="3" max="8" width="14.77734375" style="1" hidden="1" customWidth="1"/>
    <col min="9" max="10" width="14.77734375" hidden="1" customWidth="1"/>
    <col min="11" max="16" width="14.77734375" customWidth="1"/>
  </cols>
  <sheetData>
    <row r="1" spans="1:16" x14ac:dyDescent="0.25">
      <c r="A1" s="874" t="s">
        <v>1021</v>
      </c>
      <c r="B1" s="371" t="s">
        <v>1348</v>
      </c>
      <c r="D1" s="114"/>
      <c r="E1" s="114"/>
      <c r="F1" s="114"/>
      <c r="G1" s="114"/>
      <c r="H1" s="114"/>
      <c r="I1" s="114"/>
      <c r="J1" s="114"/>
      <c r="K1" s="114"/>
      <c r="L1" s="114"/>
      <c r="M1" s="114"/>
      <c r="O1" s="1"/>
    </row>
    <row r="2" spans="1:16" ht="13.8" x14ac:dyDescent="0.25">
      <c r="A2" s="875" t="s">
        <v>264</v>
      </c>
      <c r="B2" s="45"/>
      <c r="E2" s="141"/>
      <c r="I2" s="141" t="s">
        <v>257</v>
      </c>
      <c r="J2" s="141"/>
      <c r="K2" s="141"/>
      <c r="L2" s="141"/>
      <c r="M2" s="141"/>
      <c r="N2" s="61" t="s">
        <v>354</v>
      </c>
      <c r="O2" s="1"/>
      <c r="P2" s="46" t="s">
        <v>355</v>
      </c>
    </row>
    <row r="3" spans="1:16" ht="13.8" thickBot="1" x14ac:dyDescent="0.3">
      <c r="A3" s="876"/>
      <c r="B3" s="4"/>
      <c r="C3" s="23"/>
      <c r="D3" s="23"/>
      <c r="E3" s="23"/>
      <c r="F3" s="23"/>
      <c r="G3" s="23"/>
      <c r="H3" s="23"/>
      <c r="I3" s="23"/>
      <c r="J3" s="23"/>
      <c r="K3" s="23"/>
      <c r="L3" s="23"/>
      <c r="M3" s="23"/>
      <c r="N3" s="4"/>
      <c r="O3" s="23"/>
      <c r="P3" s="4"/>
    </row>
    <row r="4" spans="1:16" ht="13.8" thickTop="1" x14ac:dyDescent="0.25">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t="s">
        <v>910</v>
      </c>
    </row>
    <row r="5" spans="1:16" x14ac:dyDescent="0.25">
      <c r="A5" s="878"/>
      <c r="B5" s="209"/>
      <c r="C5" s="127"/>
      <c r="D5" s="87"/>
      <c r="E5" s="113"/>
      <c r="F5" s="87"/>
      <c r="G5" s="87"/>
      <c r="H5" s="113"/>
      <c r="I5" s="290"/>
      <c r="J5" s="290"/>
      <c r="K5" s="290"/>
      <c r="L5" s="290"/>
      <c r="M5" s="290"/>
      <c r="N5" s="113" t="s">
        <v>515</v>
      </c>
      <c r="O5" s="88" t="s">
        <v>7</v>
      </c>
      <c r="P5" s="203" t="s">
        <v>782</v>
      </c>
    </row>
    <row r="6" spans="1:16" x14ac:dyDescent="0.25">
      <c r="A6" s="878"/>
      <c r="B6" s="209"/>
      <c r="C6" s="127"/>
      <c r="D6" s="127"/>
      <c r="E6" s="127"/>
      <c r="F6" s="127"/>
      <c r="G6" s="127"/>
      <c r="H6" s="127"/>
      <c r="I6" s="88"/>
      <c r="J6" s="88"/>
      <c r="K6" s="88"/>
      <c r="L6" s="88"/>
      <c r="M6" s="88"/>
      <c r="N6" s="127"/>
      <c r="O6" s="88" t="s">
        <v>8</v>
      </c>
      <c r="P6" s="47" t="s">
        <v>543</v>
      </c>
    </row>
    <row r="7" spans="1:16"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44561</v>
      </c>
      <c r="O7" s="9" t="s">
        <v>9</v>
      </c>
      <c r="P7" s="9" t="s">
        <v>546</v>
      </c>
    </row>
    <row r="8" spans="1:16" ht="13.8" thickTop="1" x14ac:dyDescent="0.25">
      <c r="A8" s="908"/>
      <c r="B8" s="210"/>
      <c r="C8" s="132"/>
      <c r="D8" s="18"/>
      <c r="E8" s="18"/>
      <c r="F8" s="18"/>
      <c r="G8" s="18"/>
      <c r="H8" s="18"/>
      <c r="I8" s="19"/>
      <c r="J8" s="19"/>
      <c r="K8" s="19"/>
      <c r="L8" s="19"/>
      <c r="M8" s="19"/>
      <c r="N8" s="18"/>
      <c r="O8" s="19"/>
      <c r="P8" s="19"/>
    </row>
    <row r="9" spans="1:16" x14ac:dyDescent="0.25">
      <c r="A9" s="908"/>
      <c r="B9" s="110"/>
      <c r="C9" s="132"/>
      <c r="D9" s="18"/>
      <c r="E9" s="18"/>
      <c r="F9" s="18"/>
      <c r="G9" s="18"/>
      <c r="H9" s="18"/>
      <c r="I9" s="18"/>
      <c r="J9" s="18"/>
      <c r="K9" s="19"/>
      <c r="L9" s="19"/>
      <c r="M9" s="19"/>
      <c r="N9" s="18"/>
      <c r="O9" s="19"/>
      <c r="P9" s="19"/>
    </row>
    <row r="10" spans="1:16" x14ac:dyDescent="0.25">
      <c r="A10" s="881">
        <v>5700</v>
      </c>
      <c r="B10" s="63" t="s">
        <v>219</v>
      </c>
      <c r="C10" s="130">
        <v>253.28</v>
      </c>
      <c r="D10" s="13">
        <v>0</v>
      </c>
      <c r="E10" s="13">
        <v>434.33</v>
      </c>
      <c r="F10" s="13">
        <v>0</v>
      </c>
      <c r="G10" s="13">
        <v>0</v>
      </c>
      <c r="H10" s="13">
        <v>253.19</v>
      </c>
      <c r="I10" s="13"/>
      <c r="J10" s="13"/>
      <c r="K10" s="14">
        <v>500</v>
      </c>
      <c r="L10" s="13">
        <v>500</v>
      </c>
      <c r="M10" s="14">
        <v>500</v>
      </c>
      <c r="N10" s="13"/>
      <c r="O10" s="14">
        <v>500</v>
      </c>
      <c r="P10" s="14"/>
    </row>
    <row r="11" spans="1:16" ht="13.8" thickBot="1" x14ac:dyDescent="0.3">
      <c r="A11" s="881"/>
      <c r="B11" s="724"/>
      <c r="C11" s="131"/>
      <c r="D11" s="15"/>
      <c r="E11" s="15"/>
      <c r="F11" s="15"/>
      <c r="G11" s="15"/>
      <c r="H11" s="15"/>
      <c r="I11" s="15"/>
      <c r="J11" s="15"/>
      <c r="K11" s="16"/>
      <c r="L11" s="15"/>
      <c r="M11" s="16"/>
      <c r="N11" s="15"/>
      <c r="O11" s="16"/>
      <c r="P11" s="16"/>
    </row>
    <row r="12" spans="1:16" x14ac:dyDescent="0.25">
      <c r="A12" s="881"/>
      <c r="B12" s="64" t="s">
        <v>449</v>
      </c>
      <c r="C12" s="132">
        <f t="shared" ref="C12:O12" si="0">SUM(C9:C11)</f>
        <v>253.28</v>
      </c>
      <c r="D12" s="18">
        <f t="shared" si="0"/>
        <v>0</v>
      </c>
      <c r="E12" s="18">
        <f t="shared" si="0"/>
        <v>434.33</v>
      </c>
      <c r="F12" s="18">
        <f>+F10</f>
        <v>0</v>
      </c>
      <c r="G12" s="18">
        <f>+G10</f>
        <v>0</v>
      </c>
      <c r="H12" s="18">
        <f>+H10</f>
        <v>253.19</v>
      </c>
      <c r="I12" s="18">
        <f t="shared" si="0"/>
        <v>0</v>
      </c>
      <c r="J12" s="18">
        <f t="shared" ref="J12" si="1">SUM(J9:J11)</f>
        <v>0</v>
      </c>
      <c r="K12" s="36">
        <f t="shared" ref="K12:M12" si="2">SUM(K9:K11)</f>
        <v>500</v>
      </c>
      <c r="L12" s="18">
        <f t="shared" si="2"/>
        <v>500</v>
      </c>
      <c r="M12" s="36">
        <f t="shared" si="2"/>
        <v>500</v>
      </c>
      <c r="N12" s="18">
        <f t="shared" si="0"/>
        <v>0</v>
      </c>
      <c r="O12" s="36">
        <f t="shared" si="0"/>
        <v>500</v>
      </c>
      <c r="P12" s="36">
        <f>SUM(P9:P11)</f>
        <v>0</v>
      </c>
    </row>
    <row r="13" spans="1:16" x14ac:dyDescent="0.25">
      <c r="A13" s="881"/>
      <c r="B13" s="63"/>
      <c r="C13" s="130"/>
      <c r="D13" s="13"/>
      <c r="E13" s="13"/>
      <c r="F13" s="13"/>
      <c r="G13" s="13"/>
      <c r="H13" s="13"/>
      <c r="I13" s="13"/>
      <c r="J13" s="13"/>
      <c r="K13" s="14"/>
      <c r="L13" s="13"/>
      <c r="M13" s="14"/>
      <c r="N13" s="13"/>
      <c r="O13" s="14"/>
      <c r="P13" s="14"/>
    </row>
    <row r="14" spans="1:16" x14ac:dyDescent="0.25">
      <c r="A14" s="881"/>
      <c r="B14" s="63"/>
      <c r="C14" s="130"/>
      <c r="D14" s="13"/>
      <c r="E14" s="13"/>
      <c r="F14" s="13"/>
      <c r="G14" s="13"/>
      <c r="H14" s="13"/>
      <c r="I14" s="13"/>
      <c r="J14" s="13"/>
      <c r="K14" s="14"/>
      <c r="L14" s="13"/>
      <c r="M14" s="14"/>
      <c r="N14" s="13"/>
      <c r="O14" s="14"/>
      <c r="P14" s="14"/>
    </row>
    <row r="15" spans="1:16" ht="13.8" thickBot="1" x14ac:dyDescent="0.3">
      <c r="A15" s="882"/>
      <c r="B15" s="723" t="s">
        <v>1476</v>
      </c>
      <c r="C15" s="714">
        <f t="shared" ref="C15:O15" si="3">+C12</f>
        <v>253.28</v>
      </c>
      <c r="D15" s="21">
        <f t="shared" si="3"/>
        <v>0</v>
      </c>
      <c r="E15" s="21">
        <f>+E12</f>
        <v>434.33</v>
      </c>
      <c r="F15" s="21">
        <f>+F12</f>
        <v>0</v>
      </c>
      <c r="G15" s="21">
        <f>+G12</f>
        <v>0</v>
      </c>
      <c r="H15" s="21">
        <f>+H12</f>
        <v>253.19</v>
      </c>
      <c r="I15" s="21">
        <f t="shared" si="3"/>
        <v>0</v>
      </c>
      <c r="J15" s="21">
        <f t="shared" ref="J15" si="4">+J12</f>
        <v>0</v>
      </c>
      <c r="K15" s="41">
        <f t="shared" ref="K15:N15" si="5">+K12</f>
        <v>500</v>
      </c>
      <c r="L15" s="21">
        <f t="shared" ref="L15:M15" si="6">+L12</f>
        <v>500</v>
      </c>
      <c r="M15" s="41">
        <f t="shared" si="6"/>
        <v>500</v>
      </c>
      <c r="N15" s="41">
        <f t="shared" si="5"/>
        <v>0</v>
      </c>
      <c r="O15" s="41">
        <f t="shared" si="3"/>
        <v>500</v>
      </c>
      <c r="P15" s="41">
        <v>500</v>
      </c>
    </row>
    <row r="16" spans="1:16" ht="13.8" thickTop="1" x14ac:dyDescent="0.25">
      <c r="A16" s="876"/>
      <c r="B16" s="724"/>
      <c r="C16" s="24"/>
      <c r="D16" s="24"/>
      <c r="E16" s="24"/>
      <c r="F16" s="24"/>
      <c r="G16" s="24"/>
      <c r="H16" s="24"/>
      <c r="I16" s="24"/>
      <c r="J16" s="24"/>
      <c r="K16" s="24"/>
      <c r="L16" s="24"/>
      <c r="M16" s="24"/>
      <c r="N16" s="25"/>
      <c r="O16" s="24"/>
      <c r="P16" s="23"/>
    </row>
    <row r="17" spans="1:16" ht="13.8" thickBot="1" x14ac:dyDescent="0.3">
      <c r="A17" s="876"/>
      <c r="B17" s="724"/>
      <c r="C17" s="23"/>
      <c r="D17" s="23"/>
      <c r="E17" s="23"/>
      <c r="F17" s="23"/>
      <c r="G17" s="23"/>
      <c r="H17" s="23"/>
      <c r="I17" s="23"/>
      <c r="J17" s="23"/>
      <c r="K17" s="23"/>
      <c r="L17" s="23"/>
      <c r="M17" s="23"/>
      <c r="N17" s="27"/>
      <c r="O17" s="23"/>
      <c r="P17" s="27"/>
    </row>
    <row r="18" spans="1:16" ht="13.8" thickTop="1" x14ac:dyDescent="0.25">
      <c r="A18" s="893"/>
      <c r="B18" s="725"/>
      <c r="C18" s="715" t="s">
        <v>127</v>
      </c>
      <c r="D18" s="454" t="s">
        <v>127</v>
      </c>
      <c r="E18" s="454" t="s">
        <v>127</v>
      </c>
      <c r="K18" s="455" t="s">
        <v>547</v>
      </c>
      <c r="L18" s="456" t="s">
        <v>9</v>
      </c>
      <c r="M18" s="457" t="s">
        <v>1073</v>
      </c>
      <c r="N18" s="456" t="s">
        <v>686</v>
      </c>
      <c r="O18" s="458"/>
      <c r="P18" s="457"/>
    </row>
    <row r="19" spans="1:16" ht="13.8" thickBot="1" x14ac:dyDescent="0.3">
      <c r="A19" s="894" t="s">
        <v>128</v>
      </c>
      <c r="B19" s="459"/>
      <c r="C19" s="460" t="s">
        <v>347</v>
      </c>
      <c r="D19" s="460" t="s">
        <v>722</v>
      </c>
      <c r="E19" s="461" t="s">
        <v>737</v>
      </c>
      <c r="K19" s="462" t="s">
        <v>909</v>
      </c>
      <c r="L19" s="462" t="s">
        <v>910</v>
      </c>
      <c r="M19" s="461" t="s">
        <v>1075</v>
      </c>
      <c r="N19" s="463" t="s">
        <v>1075</v>
      </c>
      <c r="O19" s="464" t="s">
        <v>1074</v>
      </c>
      <c r="P19" s="462"/>
    </row>
    <row r="20" spans="1:16" ht="13.8" thickTop="1" x14ac:dyDescent="0.25">
      <c r="A20" s="910"/>
      <c r="B20" s="480"/>
      <c r="C20" s="468"/>
      <c r="D20" s="468"/>
      <c r="E20" s="468"/>
      <c r="K20" s="468"/>
      <c r="L20" s="468"/>
      <c r="M20" s="469"/>
      <c r="N20" s="468"/>
      <c r="O20" s="469"/>
      <c r="P20" s="469"/>
    </row>
    <row r="21" spans="1:16" x14ac:dyDescent="0.25">
      <c r="A21" s="907">
        <v>5700</v>
      </c>
      <c r="B21" s="472" t="s">
        <v>219</v>
      </c>
      <c r="C21" s="476">
        <v>253.28</v>
      </c>
      <c r="D21" s="476">
        <v>0</v>
      </c>
      <c r="E21" s="476">
        <v>434.33</v>
      </c>
      <c r="K21" s="475">
        <f>+M10</f>
        <v>500</v>
      </c>
      <c r="L21" s="497">
        <f>+O10</f>
        <v>500</v>
      </c>
      <c r="M21" s="500">
        <f>+L21-K21</f>
        <v>0</v>
      </c>
      <c r="N21" s="477" t="str">
        <f>IF(K21+L21&lt;&gt;0,IF(K21&lt;&gt;0,IF(M21&lt;&gt;0,ROUND((+M21/K21),4),""),1),"")</f>
        <v/>
      </c>
      <c r="O21" s="470"/>
      <c r="P21" s="471"/>
    </row>
    <row r="22" spans="1:16" x14ac:dyDescent="0.25">
      <c r="A22" s="876"/>
      <c r="B22" s="4"/>
      <c r="C22" s="23"/>
      <c r="D22" s="23"/>
      <c r="E22" s="23"/>
      <c r="F22" s="23"/>
      <c r="G22" s="23"/>
      <c r="K22" s="23"/>
      <c r="L22" s="23"/>
      <c r="M22" s="23"/>
      <c r="N22" s="27"/>
      <c r="O22" s="23"/>
      <c r="P22" s="23"/>
    </row>
    <row r="23" spans="1:16" x14ac:dyDescent="0.25">
      <c r="A23" s="876"/>
      <c r="B23" s="4" t="s">
        <v>1363</v>
      </c>
      <c r="C23" s="23"/>
      <c r="D23" s="23"/>
      <c r="E23" s="23"/>
      <c r="F23" s="23"/>
      <c r="G23" s="23"/>
      <c r="K23" s="742">
        <f>SUM(K21:K22)</f>
        <v>500</v>
      </c>
      <c r="L23" s="742">
        <f>SUM(I12:I22)</f>
        <v>0</v>
      </c>
      <c r="M23" s="202">
        <f>+L23-K23</f>
        <v>-500</v>
      </c>
      <c r="N23" s="743">
        <f>IF(K23+L23&lt;&gt;0,IF(K23&lt;&gt;0,IF(M23&lt;&gt;0,ROUND((+M23/K23),4),""),1),"")</f>
        <v>-1</v>
      </c>
      <c r="O23" s="23"/>
      <c r="P23" s="23"/>
    </row>
    <row r="24" spans="1:16" x14ac:dyDescent="0.25">
      <c r="A24" s="876"/>
      <c r="B24" s="4"/>
      <c r="C24" s="23"/>
      <c r="D24" s="23"/>
      <c r="E24" s="23"/>
      <c r="F24" s="23"/>
      <c r="G24" s="23"/>
      <c r="H24" s="23"/>
      <c r="I24" s="23"/>
      <c r="J24" s="23"/>
      <c r="K24" s="23"/>
      <c r="L24" s="23"/>
      <c r="M24" s="23"/>
      <c r="N24" s="27"/>
      <c r="O24" s="23"/>
      <c r="P24" s="23"/>
    </row>
    <row r="25" spans="1:16" x14ac:dyDescent="0.25">
      <c r="A25" s="876"/>
      <c r="B25" s="4"/>
      <c r="C25" s="23"/>
      <c r="D25" s="23"/>
      <c r="E25" s="23"/>
      <c r="F25" s="23"/>
      <c r="G25" s="23"/>
      <c r="H25" s="23"/>
      <c r="I25" s="23"/>
      <c r="J25" s="23"/>
      <c r="K25" s="23"/>
      <c r="L25" s="23"/>
      <c r="M25" s="23"/>
      <c r="N25" s="27"/>
      <c r="O25" s="23"/>
      <c r="P25" s="23"/>
    </row>
    <row r="26" spans="1:16" x14ac:dyDescent="0.25">
      <c r="A26" s="876"/>
      <c r="B26" s="4"/>
      <c r="C26" s="23"/>
      <c r="D26" s="23"/>
      <c r="E26" s="23"/>
      <c r="F26" s="23"/>
      <c r="G26" s="23"/>
      <c r="H26" s="23"/>
      <c r="I26" s="23"/>
      <c r="J26" s="23"/>
      <c r="K26" s="23"/>
      <c r="L26" s="23"/>
      <c r="M26" s="23"/>
      <c r="N26" s="27"/>
      <c r="O26" s="23"/>
      <c r="P26" s="23"/>
    </row>
    <row r="27" spans="1:16" x14ac:dyDescent="0.25">
      <c r="A27" s="876"/>
      <c r="B27" s="4"/>
      <c r="C27" s="23"/>
      <c r="D27" s="23"/>
      <c r="E27" s="23"/>
      <c r="F27" s="23"/>
      <c r="G27" s="23"/>
      <c r="H27" s="23"/>
      <c r="I27" s="23"/>
      <c r="J27" s="23"/>
      <c r="K27" s="23"/>
      <c r="L27" s="23"/>
      <c r="M27" s="23"/>
      <c r="N27" s="27"/>
      <c r="O27" s="23"/>
      <c r="P27" s="23"/>
    </row>
    <row r="28" spans="1:16" x14ac:dyDescent="0.25">
      <c r="A28" s="876"/>
      <c r="B28" s="4"/>
      <c r="C28" s="23"/>
      <c r="D28" s="23"/>
      <c r="E28" s="23"/>
      <c r="F28" s="23"/>
      <c r="G28" s="23"/>
      <c r="H28" s="23"/>
      <c r="I28" s="23"/>
      <c r="J28" s="23"/>
      <c r="K28" s="23"/>
      <c r="L28" s="23"/>
      <c r="M28" s="23"/>
      <c r="N28" s="27"/>
      <c r="O28" s="23"/>
      <c r="P28" s="23"/>
    </row>
    <row r="29" spans="1:16" x14ac:dyDescent="0.25">
      <c r="A29" s="876"/>
      <c r="B29" s="4"/>
      <c r="C29" s="23"/>
      <c r="D29" s="23"/>
      <c r="E29" s="23"/>
      <c r="F29" s="23"/>
      <c r="G29" s="23"/>
      <c r="H29" s="23"/>
      <c r="I29" s="23"/>
      <c r="J29" s="23"/>
      <c r="K29" s="23"/>
      <c r="L29" s="23"/>
      <c r="M29" s="23"/>
      <c r="N29" s="27"/>
      <c r="O29" s="23"/>
      <c r="P29" s="23"/>
    </row>
    <row r="30" spans="1:16" x14ac:dyDescent="0.25">
      <c r="A30" s="876"/>
      <c r="B30" s="4"/>
      <c r="C30" s="23"/>
      <c r="D30" s="23"/>
      <c r="E30" s="23"/>
      <c r="F30" s="23"/>
      <c r="G30" s="23"/>
      <c r="H30" s="23"/>
      <c r="I30" s="23"/>
      <c r="J30" s="23"/>
      <c r="K30" s="23"/>
      <c r="L30" s="23"/>
      <c r="M30" s="23"/>
      <c r="N30" s="27"/>
      <c r="O30" s="23"/>
      <c r="P30" s="23"/>
    </row>
  </sheetData>
  <phoneticPr fontId="16" type="noConversion"/>
  <hyperlinks>
    <hyperlink ref="A1" location="'Working Budget with funding det'!A1" display="Main " xr:uid="{00000000-0004-0000-2F00-000000000000}"/>
    <hyperlink ref="B1" location="'Table of Contents'!A1" display="TOC" xr:uid="{00000000-0004-0000-2F00-000001000000}"/>
  </hyperlinks>
  <pageMargins left="0.75" right="0.75" top="1" bottom="1" header="0.5" footer="0.5"/>
  <pageSetup orientation="landscape" r:id="rId1"/>
  <headerFooter alignWithMargins="0">
    <oddFooter>&amp;L&amp;D &amp;T&amp;C&amp;F&amp;R&amp;A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92D050"/>
    <pageSetUpPr fitToPage="1"/>
  </sheetPr>
  <dimension ref="A1:T186"/>
  <sheetViews>
    <sheetView workbookViewId="0">
      <selection activeCell="P1" sqref="P1:P1048576"/>
    </sheetView>
  </sheetViews>
  <sheetFormatPr defaultRowHeight="13.2" x14ac:dyDescent="0.25"/>
  <cols>
    <col min="1" max="1" width="8.77734375" style="885"/>
    <col min="2" max="2" width="36.6640625" customWidth="1"/>
    <col min="3" max="3" width="14.44140625" style="1" hidden="1" customWidth="1"/>
    <col min="4" max="10" width="14.44140625" style="114" hidden="1" customWidth="1"/>
    <col min="11" max="13" width="14.44140625" style="114" customWidth="1"/>
    <col min="14" max="14" width="14.44140625" customWidth="1"/>
    <col min="15" max="15" width="14.33203125" style="1" customWidth="1"/>
    <col min="16" max="16" width="14.44140625" style="1" customWidth="1"/>
    <col min="17" max="19" width="14.44140625" customWidth="1"/>
    <col min="20" max="20" width="14.6640625" style="2" customWidth="1"/>
  </cols>
  <sheetData>
    <row r="1" spans="1:19" x14ac:dyDescent="0.25">
      <c r="A1" s="874" t="s">
        <v>1021</v>
      </c>
      <c r="B1" s="371" t="s">
        <v>1348</v>
      </c>
      <c r="P1"/>
    </row>
    <row r="2" spans="1:19" ht="13.8" x14ac:dyDescent="0.25">
      <c r="A2" s="875" t="s">
        <v>264</v>
      </c>
      <c r="B2" s="45"/>
      <c r="I2" s="141" t="s">
        <v>257</v>
      </c>
      <c r="J2" s="141"/>
      <c r="K2" s="141"/>
      <c r="L2" s="141"/>
      <c r="M2" s="141"/>
      <c r="N2" s="61" t="s">
        <v>317</v>
      </c>
      <c r="P2" s="437" t="s">
        <v>1064</v>
      </c>
    </row>
    <row r="3" spans="1:19" ht="13.8" thickBot="1" x14ac:dyDescent="0.3">
      <c r="A3" s="876"/>
      <c r="B3" s="4"/>
      <c r="C3" s="23"/>
      <c r="D3" s="23"/>
      <c r="E3" s="23"/>
      <c r="F3" s="23"/>
      <c r="G3" s="23"/>
      <c r="H3" s="23"/>
      <c r="I3" s="23"/>
      <c r="J3" s="23"/>
      <c r="K3" s="23"/>
      <c r="L3" s="23"/>
      <c r="M3" s="23"/>
      <c r="N3" s="4"/>
      <c r="O3" s="23"/>
      <c r="P3" s="4"/>
      <c r="S3" s="4"/>
    </row>
    <row r="4" spans="1:19" ht="13.8" thickTop="1" x14ac:dyDescent="0.25">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t="s">
        <v>910</v>
      </c>
    </row>
    <row r="5" spans="1:19" x14ac:dyDescent="0.25">
      <c r="A5" s="878"/>
      <c r="B5" s="209"/>
      <c r="C5" s="127"/>
      <c r="D5" s="87"/>
      <c r="E5" s="113"/>
      <c r="F5" s="87"/>
      <c r="G5" s="87"/>
      <c r="H5" s="113"/>
      <c r="I5" s="290"/>
      <c r="J5" s="290"/>
      <c r="K5" s="290"/>
      <c r="L5" s="290"/>
      <c r="M5" s="290"/>
      <c r="N5" s="113" t="s">
        <v>515</v>
      </c>
      <c r="O5" s="88" t="s">
        <v>7</v>
      </c>
      <c r="P5" s="203" t="s">
        <v>782</v>
      </c>
    </row>
    <row r="6" spans="1:19" x14ac:dyDescent="0.25">
      <c r="A6" s="878"/>
      <c r="B6" s="209"/>
      <c r="C6" s="127"/>
      <c r="D6" s="127"/>
      <c r="E6" s="127"/>
      <c r="F6" s="127"/>
      <c r="G6" s="127"/>
      <c r="H6" s="127"/>
      <c r="I6" s="88"/>
      <c r="J6" s="88"/>
      <c r="K6" s="88"/>
      <c r="L6" s="88"/>
      <c r="M6" s="88"/>
      <c r="N6" s="127"/>
      <c r="O6" s="88" t="s">
        <v>8</v>
      </c>
      <c r="P6" s="47" t="s">
        <v>543</v>
      </c>
    </row>
    <row r="7" spans="1:19"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44561</v>
      </c>
      <c r="O7" s="9" t="s">
        <v>9</v>
      </c>
      <c r="P7" s="9" t="s">
        <v>546</v>
      </c>
    </row>
    <row r="8" spans="1:19" ht="13.8" thickTop="1" x14ac:dyDescent="0.25">
      <c r="A8" s="908"/>
      <c r="B8" s="210"/>
      <c r="C8" s="132"/>
      <c r="D8" s="18"/>
      <c r="E8" s="18"/>
      <c r="F8" s="18"/>
      <c r="G8" s="18"/>
      <c r="H8" s="18"/>
      <c r="I8" s="19"/>
      <c r="J8" s="19"/>
      <c r="K8" s="19"/>
      <c r="L8" s="19"/>
      <c r="M8" s="19"/>
      <c r="N8" s="18"/>
      <c r="O8" s="19"/>
      <c r="P8" s="19"/>
    </row>
    <row r="9" spans="1:19" x14ac:dyDescent="0.25">
      <c r="A9" s="908">
        <v>5211</v>
      </c>
      <c r="B9" s="110" t="s">
        <v>192</v>
      </c>
      <c r="C9" s="132">
        <v>425.76</v>
      </c>
      <c r="D9" s="18">
        <v>393.01</v>
      </c>
      <c r="E9" s="18">
        <v>453.98</v>
      </c>
      <c r="F9" s="18">
        <v>478.7</v>
      </c>
      <c r="G9" s="18">
        <v>443.64</v>
      </c>
      <c r="H9" s="18">
        <v>430.41</v>
      </c>
      <c r="I9" s="18">
        <v>412.06</v>
      </c>
      <c r="J9" s="18">
        <v>426.87</v>
      </c>
      <c r="K9" s="19">
        <v>500</v>
      </c>
      <c r="L9" s="18">
        <v>432.19</v>
      </c>
      <c r="M9" s="19">
        <v>500</v>
      </c>
      <c r="N9" s="18">
        <v>146.6</v>
      </c>
      <c r="O9" s="19">
        <v>500</v>
      </c>
      <c r="P9" s="19"/>
    </row>
    <row r="10" spans="1:19" ht="13.8" thickBot="1" x14ac:dyDescent="0.3">
      <c r="A10" s="881">
        <v>5700</v>
      </c>
      <c r="B10" s="63" t="s">
        <v>219</v>
      </c>
      <c r="C10" s="131">
        <v>804.49</v>
      </c>
      <c r="D10" s="15">
        <v>426.4</v>
      </c>
      <c r="E10" s="15">
        <v>595.45000000000005</v>
      </c>
      <c r="F10" s="15">
        <v>710.92</v>
      </c>
      <c r="G10" s="15">
        <v>745.32</v>
      </c>
      <c r="H10" s="15">
        <v>769.59</v>
      </c>
      <c r="I10" s="15">
        <v>388.71</v>
      </c>
      <c r="J10" s="15">
        <v>510.75</v>
      </c>
      <c r="K10" s="16">
        <v>800</v>
      </c>
      <c r="L10" s="15">
        <v>359.7</v>
      </c>
      <c r="M10" s="16">
        <v>800</v>
      </c>
      <c r="N10" s="15"/>
      <c r="O10" s="16">
        <v>800</v>
      </c>
      <c r="P10" s="16"/>
    </row>
    <row r="11" spans="1:19" x14ac:dyDescent="0.25">
      <c r="A11" s="881"/>
      <c r="B11" s="64" t="s">
        <v>449</v>
      </c>
      <c r="C11" s="132">
        <f t="shared" ref="C11:P11" si="0">SUM(C9:C10)</f>
        <v>1230.25</v>
      </c>
      <c r="D11" s="18">
        <f t="shared" si="0"/>
        <v>819.41</v>
      </c>
      <c r="E11" s="18">
        <f t="shared" si="0"/>
        <v>1049.43</v>
      </c>
      <c r="F11" s="18">
        <f t="shared" si="0"/>
        <v>1189.6199999999999</v>
      </c>
      <c r="G11" s="18">
        <f t="shared" si="0"/>
        <v>1188.96</v>
      </c>
      <c r="H11" s="18">
        <f t="shared" si="0"/>
        <v>1200</v>
      </c>
      <c r="I11" s="18">
        <f t="shared" si="0"/>
        <v>800.77</v>
      </c>
      <c r="J11" s="18">
        <f t="shared" si="0"/>
        <v>937.62</v>
      </c>
      <c r="K11" s="36">
        <f t="shared" si="0"/>
        <v>1300</v>
      </c>
      <c r="L11" s="18">
        <f t="shared" ref="L11:M11" si="1">SUM(L9:L10)</f>
        <v>791.89</v>
      </c>
      <c r="M11" s="36">
        <f t="shared" si="1"/>
        <v>1300</v>
      </c>
      <c r="N11" s="18">
        <f t="shared" si="0"/>
        <v>146.6</v>
      </c>
      <c r="O11" s="36">
        <f t="shared" si="0"/>
        <v>1300</v>
      </c>
      <c r="P11" s="36">
        <f t="shared" si="0"/>
        <v>0</v>
      </c>
    </row>
    <row r="12" spans="1:19" x14ac:dyDescent="0.25">
      <c r="A12" s="881"/>
      <c r="B12" s="63"/>
      <c r="C12" s="130"/>
      <c r="D12" s="13"/>
      <c r="E12" s="13"/>
      <c r="F12" s="13"/>
      <c r="G12" s="13"/>
      <c r="H12" s="13"/>
      <c r="I12" s="13"/>
      <c r="J12" s="13"/>
      <c r="K12" s="14"/>
      <c r="L12" s="13"/>
      <c r="M12" s="14"/>
      <c r="N12" s="13"/>
      <c r="O12" s="14"/>
      <c r="P12" s="14"/>
    </row>
    <row r="13" spans="1:19" x14ac:dyDescent="0.25">
      <c r="A13" s="881"/>
      <c r="B13" s="63"/>
      <c r="C13" s="130"/>
      <c r="D13" s="13"/>
      <c r="E13" s="13"/>
      <c r="F13" s="13"/>
      <c r="G13" s="13"/>
      <c r="H13" s="13"/>
      <c r="I13" s="13"/>
      <c r="J13" s="13"/>
      <c r="K13" s="14"/>
      <c r="L13" s="13"/>
      <c r="M13" s="14"/>
      <c r="N13" s="13"/>
      <c r="O13" s="14"/>
      <c r="P13" s="14"/>
    </row>
    <row r="14" spans="1:19" ht="13.8" thickBot="1" x14ac:dyDescent="0.3">
      <c r="A14" s="882"/>
      <c r="B14" s="723" t="s">
        <v>318</v>
      </c>
      <c r="C14" s="714">
        <f t="shared" ref="C14:O14" si="2">+C11</f>
        <v>1230.25</v>
      </c>
      <c r="D14" s="21">
        <f t="shared" si="2"/>
        <v>819.41</v>
      </c>
      <c r="E14" s="21">
        <f>+E11</f>
        <v>1049.43</v>
      </c>
      <c r="F14" s="21">
        <f>+F11</f>
        <v>1189.6199999999999</v>
      </c>
      <c r="G14" s="21">
        <f>+G11</f>
        <v>1188.96</v>
      </c>
      <c r="H14" s="21">
        <f>+H11</f>
        <v>1200</v>
      </c>
      <c r="I14" s="21">
        <f t="shared" si="2"/>
        <v>800.77</v>
      </c>
      <c r="J14" s="21">
        <f t="shared" ref="J14" si="3">+J11</f>
        <v>937.62</v>
      </c>
      <c r="K14" s="41">
        <f t="shared" ref="K14:M14" si="4">+K11</f>
        <v>1300</v>
      </c>
      <c r="L14" s="21">
        <f t="shared" si="4"/>
        <v>791.89</v>
      </c>
      <c r="M14" s="41">
        <f t="shared" si="4"/>
        <v>1300</v>
      </c>
      <c r="N14" s="21">
        <f t="shared" si="2"/>
        <v>146.6</v>
      </c>
      <c r="O14" s="41">
        <f t="shared" si="2"/>
        <v>1300</v>
      </c>
      <c r="P14" s="41">
        <f>+O14</f>
        <v>1300</v>
      </c>
    </row>
    <row r="15" spans="1:19" ht="13.8" thickTop="1" x14ac:dyDescent="0.25">
      <c r="A15" s="876"/>
      <c r="B15" s="724"/>
      <c r="C15" s="24"/>
      <c r="D15" s="24"/>
      <c r="E15" s="24"/>
      <c r="F15" s="24"/>
      <c r="G15" s="24"/>
      <c r="H15" s="24"/>
      <c r="I15" s="24"/>
      <c r="J15" s="24"/>
      <c r="K15" s="24"/>
      <c r="L15" s="24"/>
      <c r="M15" s="24"/>
      <c r="N15" s="25"/>
      <c r="O15" s="24"/>
      <c r="P15" s="23"/>
      <c r="Q15" s="25"/>
      <c r="R15" s="25"/>
      <c r="S15" s="25"/>
    </row>
    <row r="16" spans="1:19" ht="13.8" thickBot="1" x14ac:dyDescent="0.3">
      <c r="A16" s="876"/>
      <c r="B16" s="724"/>
      <c r="C16" s="23"/>
      <c r="D16" s="23"/>
      <c r="E16" s="23"/>
      <c r="F16" s="23"/>
      <c r="G16" s="23"/>
      <c r="H16" s="23"/>
      <c r="I16" s="23"/>
      <c r="J16" s="23"/>
      <c r="K16" s="23"/>
      <c r="L16" s="23"/>
      <c r="M16" s="23"/>
      <c r="N16" s="27"/>
      <c r="O16" s="23"/>
      <c r="P16" s="27"/>
      <c r="Q16" s="27"/>
      <c r="R16" s="27"/>
      <c r="S16" s="27"/>
    </row>
    <row r="17" spans="1:19" ht="13.8" thickTop="1" x14ac:dyDescent="0.25">
      <c r="A17" s="893"/>
      <c r="B17" s="725"/>
      <c r="C17" s="715" t="s">
        <v>127</v>
      </c>
      <c r="D17" s="454" t="s">
        <v>127</v>
      </c>
      <c r="E17" s="454"/>
      <c r="K17" s="455" t="s">
        <v>547</v>
      </c>
      <c r="L17" s="456" t="s">
        <v>9</v>
      </c>
      <c r="M17" s="457" t="s">
        <v>1073</v>
      </c>
      <c r="N17" s="456" t="s">
        <v>686</v>
      </c>
      <c r="O17" s="458"/>
      <c r="P17" s="457"/>
      <c r="Q17" s="25"/>
      <c r="R17" s="25"/>
      <c r="S17" s="25"/>
    </row>
    <row r="18" spans="1:19" ht="13.8" thickBot="1" x14ac:dyDescent="0.3">
      <c r="A18" s="894" t="s">
        <v>128</v>
      </c>
      <c r="B18" s="459"/>
      <c r="C18" s="508" t="s">
        <v>347</v>
      </c>
      <c r="D18" s="460" t="s">
        <v>722</v>
      </c>
      <c r="E18" s="508"/>
      <c r="K18" s="462" t="s">
        <v>909</v>
      </c>
      <c r="L18" s="462" t="s">
        <v>910</v>
      </c>
      <c r="M18" s="461" t="s">
        <v>1075</v>
      </c>
      <c r="N18" s="463" t="s">
        <v>1075</v>
      </c>
      <c r="O18" s="464" t="s">
        <v>1074</v>
      </c>
      <c r="P18" s="462"/>
      <c r="Q18" s="25"/>
      <c r="R18" s="25"/>
      <c r="S18" s="25"/>
    </row>
    <row r="19" spans="1:19" ht="13.8" thickTop="1" x14ac:dyDescent="0.25">
      <c r="A19" s="910"/>
      <c r="B19" s="480"/>
      <c r="C19" s="468"/>
      <c r="D19" s="468"/>
      <c r="E19" s="468"/>
      <c r="K19" s="469"/>
      <c r="L19" s="468"/>
      <c r="M19" s="469"/>
      <c r="N19" s="468"/>
      <c r="O19" s="470"/>
      <c r="P19" s="471"/>
      <c r="Q19" s="25"/>
      <c r="R19" s="25"/>
      <c r="S19" s="25"/>
    </row>
    <row r="20" spans="1:19" x14ac:dyDescent="0.25">
      <c r="A20" s="910">
        <v>5211</v>
      </c>
      <c r="B20" s="480" t="s">
        <v>192</v>
      </c>
      <c r="C20" s="468">
        <v>425.76</v>
      </c>
      <c r="D20" s="468">
        <v>393.01</v>
      </c>
      <c r="E20" s="468"/>
      <c r="K20" s="469">
        <f>+M9</f>
        <v>500</v>
      </c>
      <c r="L20" s="496">
        <f>+O9</f>
        <v>500</v>
      </c>
      <c r="M20" s="500">
        <f>+L20-K20</f>
        <v>0</v>
      </c>
      <c r="N20" s="477" t="str">
        <f>IF(K20+L20&lt;&gt;0,IF(K20&lt;&gt;0,IF(M20&lt;&gt;0,ROUND((+M20/K20),4),""),1),"")</f>
        <v/>
      </c>
      <c r="O20" s="470"/>
      <c r="P20" s="471"/>
      <c r="Q20" s="25"/>
      <c r="R20" s="25"/>
      <c r="S20" s="25"/>
    </row>
    <row r="21" spans="1:19" ht="13.8" thickBot="1" x14ac:dyDescent="0.3">
      <c r="A21" s="907">
        <v>5700</v>
      </c>
      <c r="B21" s="472" t="s">
        <v>219</v>
      </c>
      <c r="C21" s="474">
        <v>804.49</v>
      </c>
      <c r="D21" s="474">
        <v>426.4</v>
      </c>
      <c r="E21" s="474"/>
      <c r="K21" s="485">
        <f>+M10</f>
        <v>800</v>
      </c>
      <c r="L21" s="653">
        <f>+O10</f>
        <v>800</v>
      </c>
      <c r="M21" s="500">
        <f>+L21-K21</f>
        <v>0</v>
      </c>
      <c r="N21" s="477" t="str">
        <f>IF(K21+L21&lt;&gt;0,IF(K21&lt;&gt;0,IF(M21&lt;&gt;0,ROUND((+M21/K21),4),""),1),"")</f>
        <v/>
      </c>
      <c r="O21" s="470"/>
      <c r="P21" s="471"/>
      <c r="Q21" s="25"/>
      <c r="R21" s="25"/>
      <c r="S21" s="25"/>
    </row>
    <row r="22" spans="1:19" x14ac:dyDescent="0.25">
      <c r="A22" s="876"/>
      <c r="B22" s="4"/>
      <c r="C22" s="23"/>
      <c r="D22" s="23"/>
      <c r="E22" s="23"/>
      <c r="F22" s="23"/>
      <c r="G22" s="23"/>
      <c r="K22" s="23"/>
      <c r="L22" s="23"/>
      <c r="M22" s="23"/>
      <c r="N22" s="27"/>
      <c r="O22" s="23"/>
      <c r="P22" s="23"/>
      <c r="Q22" s="27"/>
      <c r="R22" s="27"/>
      <c r="S22" s="27"/>
    </row>
    <row r="23" spans="1:19" x14ac:dyDescent="0.25">
      <c r="A23" s="876"/>
      <c r="B23" s="4" t="s">
        <v>1363</v>
      </c>
      <c r="C23" s="23"/>
      <c r="D23" s="23"/>
      <c r="E23" s="23"/>
      <c r="F23" s="23"/>
      <c r="G23" s="23"/>
      <c r="K23" s="742">
        <f>SUM(K20:K22)</f>
        <v>1300</v>
      </c>
      <c r="L23" s="742">
        <f>SUM(L20:L22)</f>
        <v>1300</v>
      </c>
      <c r="M23" s="202">
        <f>+L23-K23</f>
        <v>0</v>
      </c>
      <c r="N23" s="743" t="str">
        <f>IF(K23+L23&lt;&gt;0,IF(K23&lt;&gt;0,IF(M23&lt;&gt;0,ROUND((+M23/K23),4),""),1),"")</f>
        <v/>
      </c>
      <c r="O23" s="23"/>
      <c r="P23" s="23"/>
      <c r="Q23" s="27"/>
      <c r="R23" s="27"/>
      <c r="S23" s="27"/>
    </row>
    <row r="24" spans="1:19" x14ac:dyDescent="0.25">
      <c r="A24" s="876"/>
      <c r="B24" s="4"/>
      <c r="C24" s="23"/>
      <c r="D24" s="23"/>
      <c r="E24" s="23"/>
      <c r="F24" s="23"/>
      <c r="G24" s="23"/>
      <c r="H24" s="23"/>
      <c r="I24" s="23"/>
      <c r="J24" s="23"/>
      <c r="K24" s="23"/>
      <c r="L24" s="23"/>
      <c r="M24" s="23"/>
      <c r="N24" s="27"/>
      <c r="O24" s="23"/>
      <c r="P24" s="23"/>
      <c r="Q24" s="27"/>
      <c r="R24" s="27"/>
      <c r="S24" s="27"/>
    </row>
    <row r="25" spans="1:19" x14ac:dyDescent="0.25">
      <c r="A25" s="876"/>
      <c r="B25" s="4"/>
      <c r="C25" s="23"/>
      <c r="D25" s="23"/>
      <c r="E25" s="23"/>
      <c r="F25" s="23"/>
      <c r="G25" s="23"/>
      <c r="H25" s="23"/>
      <c r="I25" s="23"/>
      <c r="J25" s="23"/>
      <c r="K25" s="23"/>
      <c r="L25" s="23"/>
      <c r="M25" s="23"/>
      <c r="N25" s="27"/>
      <c r="O25" s="23"/>
      <c r="P25" s="23"/>
      <c r="Q25" s="27"/>
      <c r="R25" s="27"/>
      <c r="S25" s="27"/>
    </row>
    <row r="26" spans="1:19" x14ac:dyDescent="0.25">
      <c r="A26" s="876"/>
      <c r="B26" s="4"/>
      <c r="C26" s="23"/>
      <c r="D26" s="23"/>
      <c r="E26" s="23"/>
      <c r="F26" s="23"/>
      <c r="G26" s="23"/>
      <c r="H26" s="23"/>
      <c r="I26" s="23"/>
      <c r="J26" s="23"/>
      <c r="K26" s="23"/>
      <c r="L26" s="23"/>
      <c r="M26" s="23"/>
      <c r="N26" s="27"/>
      <c r="O26" s="23"/>
      <c r="P26" s="23"/>
      <c r="Q26" s="27"/>
      <c r="R26" s="27"/>
      <c r="S26" s="27"/>
    </row>
    <row r="27" spans="1:19" x14ac:dyDescent="0.25">
      <c r="A27" s="876"/>
      <c r="B27" s="4"/>
      <c r="C27" s="23"/>
      <c r="D27" s="23"/>
      <c r="E27" s="23"/>
      <c r="F27" s="23"/>
      <c r="G27" s="23"/>
      <c r="H27" s="23"/>
      <c r="I27" s="23"/>
      <c r="J27" s="23"/>
      <c r="K27" s="23"/>
      <c r="L27" s="23"/>
      <c r="M27" s="23"/>
      <c r="N27" s="27"/>
      <c r="O27" s="23"/>
      <c r="P27" s="23"/>
      <c r="Q27" s="27"/>
      <c r="R27" s="27"/>
      <c r="S27" s="27"/>
    </row>
    <row r="28" spans="1:19" x14ac:dyDescent="0.25">
      <c r="A28" s="876"/>
      <c r="B28" s="4"/>
      <c r="C28" s="23"/>
      <c r="D28" s="23"/>
      <c r="E28" s="23"/>
      <c r="F28" s="23"/>
      <c r="G28" s="23"/>
      <c r="H28" s="23"/>
      <c r="I28" s="23"/>
      <c r="J28" s="23"/>
      <c r="K28" s="23"/>
      <c r="L28" s="23"/>
      <c r="M28" s="23"/>
      <c r="N28" s="27"/>
      <c r="O28" s="23"/>
      <c r="P28" s="23"/>
      <c r="Q28" s="27"/>
      <c r="R28" s="27"/>
      <c r="S28" s="27"/>
    </row>
    <row r="29" spans="1:19" x14ac:dyDescent="0.25">
      <c r="A29" s="876"/>
      <c r="B29" s="4"/>
      <c r="C29" s="23"/>
      <c r="D29" s="23"/>
      <c r="E29" s="23"/>
      <c r="F29" s="23"/>
      <c r="G29" s="23"/>
      <c r="H29" s="23"/>
      <c r="I29" s="23"/>
      <c r="J29" s="23"/>
      <c r="K29" s="23"/>
      <c r="L29" s="23"/>
      <c r="M29" s="23"/>
      <c r="N29" s="27"/>
      <c r="O29" s="23"/>
      <c r="P29" s="23"/>
      <c r="Q29" s="27"/>
      <c r="R29" s="27"/>
      <c r="S29" s="27"/>
    </row>
    <row r="30" spans="1:19" x14ac:dyDescent="0.25">
      <c r="A30" s="876"/>
      <c r="B30" s="4"/>
      <c r="C30" s="23"/>
      <c r="D30" s="23"/>
      <c r="E30" s="23"/>
      <c r="F30" s="23"/>
      <c r="G30" s="23"/>
      <c r="H30" s="23"/>
      <c r="I30" s="23"/>
      <c r="J30" s="23"/>
      <c r="K30" s="23"/>
      <c r="L30" s="23"/>
      <c r="M30" s="23"/>
      <c r="N30" s="27"/>
      <c r="O30" s="23"/>
      <c r="P30" s="23"/>
      <c r="Q30" s="27"/>
      <c r="R30" s="27"/>
      <c r="S30" s="27"/>
    </row>
    <row r="31" spans="1:19" x14ac:dyDescent="0.25">
      <c r="A31" s="876"/>
      <c r="B31" s="4"/>
      <c r="C31" s="23"/>
      <c r="D31" s="23"/>
      <c r="E31" s="23"/>
      <c r="F31" s="23"/>
      <c r="G31" s="23"/>
      <c r="H31" s="23"/>
      <c r="I31" s="23"/>
      <c r="J31" s="23"/>
      <c r="K31" s="23"/>
      <c r="L31" s="23"/>
      <c r="M31" s="23"/>
      <c r="N31" s="27"/>
      <c r="O31" s="23"/>
      <c r="P31" s="23"/>
      <c r="Q31" s="27"/>
      <c r="R31" s="27"/>
      <c r="S31" s="27"/>
    </row>
    <row r="32" spans="1:19" x14ac:dyDescent="0.25">
      <c r="A32" s="876"/>
      <c r="B32" s="4"/>
      <c r="C32" s="23"/>
      <c r="D32" s="23"/>
      <c r="E32" s="23"/>
      <c r="F32" s="23"/>
      <c r="G32" s="23"/>
      <c r="H32" s="23"/>
      <c r="I32" s="23"/>
      <c r="J32" s="23"/>
      <c r="K32" s="23"/>
      <c r="L32" s="23"/>
      <c r="M32" s="23"/>
      <c r="N32" s="27"/>
      <c r="O32" s="23"/>
      <c r="P32" s="23"/>
      <c r="Q32" s="27"/>
      <c r="R32" s="27"/>
      <c r="S32" s="27"/>
    </row>
    <row r="33" spans="1:19" x14ac:dyDescent="0.25">
      <c r="A33" s="876"/>
      <c r="B33" s="4"/>
      <c r="C33" s="23"/>
      <c r="D33" s="23"/>
      <c r="E33" s="23"/>
      <c r="F33" s="23"/>
      <c r="G33" s="23"/>
      <c r="H33" s="23"/>
      <c r="I33" s="23"/>
      <c r="J33" s="23"/>
      <c r="K33" s="23"/>
      <c r="L33" s="23"/>
      <c r="M33" s="23"/>
      <c r="N33" s="27"/>
      <c r="O33" s="23"/>
      <c r="P33" s="23"/>
      <c r="Q33" s="27"/>
      <c r="R33" s="27"/>
      <c r="S33" s="27"/>
    </row>
    <row r="34" spans="1:19" x14ac:dyDescent="0.25">
      <c r="A34" s="876"/>
      <c r="B34" s="4"/>
      <c r="C34" s="23"/>
      <c r="D34" s="23"/>
      <c r="E34" s="23"/>
      <c r="F34" s="23"/>
      <c r="G34" s="23"/>
      <c r="H34" s="23"/>
      <c r="I34" s="23"/>
      <c r="J34" s="23"/>
      <c r="K34" s="23"/>
      <c r="L34" s="23"/>
      <c r="M34" s="23"/>
      <c r="N34" s="27"/>
      <c r="O34" s="23"/>
      <c r="P34" s="23"/>
      <c r="Q34" s="27"/>
      <c r="R34" s="27"/>
      <c r="S34" s="27"/>
    </row>
    <row r="35" spans="1:19" x14ac:dyDescent="0.25">
      <c r="A35" s="876"/>
      <c r="B35" s="4"/>
      <c r="C35" s="23"/>
      <c r="D35" s="23"/>
      <c r="E35" s="23"/>
      <c r="F35" s="23"/>
      <c r="G35" s="23"/>
      <c r="H35" s="23"/>
      <c r="I35" s="23"/>
      <c r="J35" s="23"/>
      <c r="K35" s="23"/>
      <c r="L35" s="23"/>
      <c r="M35" s="23"/>
      <c r="N35" s="27"/>
      <c r="O35" s="23"/>
      <c r="P35" s="23"/>
      <c r="Q35" s="27"/>
      <c r="R35" s="27"/>
      <c r="S35" s="27"/>
    </row>
    <row r="36" spans="1:19" x14ac:dyDescent="0.25">
      <c r="A36" s="876"/>
      <c r="B36" s="4"/>
      <c r="C36" s="23"/>
      <c r="D36" s="23"/>
      <c r="E36" s="23"/>
      <c r="F36" s="23"/>
      <c r="G36" s="23"/>
      <c r="H36" s="23"/>
      <c r="I36" s="23"/>
      <c r="J36" s="23"/>
      <c r="K36" s="23"/>
      <c r="L36" s="23"/>
      <c r="M36" s="23"/>
      <c r="N36" s="27"/>
      <c r="O36" s="23"/>
      <c r="P36" s="23"/>
      <c r="Q36" s="27"/>
      <c r="R36" s="27"/>
      <c r="S36" s="27"/>
    </row>
    <row r="37" spans="1:19" x14ac:dyDescent="0.25">
      <c r="A37" s="876"/>
      <c r="B37" s="4"/>
      <c r="C37" s="23"/>
      <c r="D37" s="23"/>
      <c r="E37" s="23"/>
      <c r="F37" s="23"/>
      <c r="G37" s="23"/>
      <c r="H37" s="23"/>
      <c r="I37" s="23"/>
      <c r="J37" s="23"/>
      <c r="K37" s="23"/>
      <c r="L37" s="23"/>
      <c r="M37" s="23"/>
      <c r="N37" s="27"/>
      <c r="O37" s="23"/>
      <c r="P37" s="23"/>
      <c r="Q37" s="27"/>
      <c r="R37" s="27"/>
      <c r="S37" s="27"/>
    </row>
    <row r="38" spans="1:19" x14ac:dyDescent="0.25">
      <c r="A38" s="876"/>
      <c r="B38" s="4"/>
      <c r="C38" s="23"/>
      <c r="D38" s="23"/>
      <c r="E38" s="23"/>
      <c r="F38" s="23"/>
      <c r="G38" s="23"/>
      <c r="H38" s="23"/>
      <c r="I38" s="23"/>
      <c r="J38" s="23"/>
      <c r="K38" s="23"/>
      <c r="L38" s="23"/>
      <c r="M38" s="23"/>
      <c r="N38" s="27"/>
      <c r="O38" s="23"/>
      <c r="P38" s="23"/>
      <c r="Q38" s="27"/>
      <c r="R38" s="27"/>
      <c r="S38" s="27"/>
    </row>
    <row r="39" spans="1:19" x14ac:dyDescent="0.25">
      <c r="A39" s="876"/>
      <c r="B39" s="4"/>
      <c r="C39" s="23"/>
      <c r="D39" s="23"/>
      <c r="E39" s="23"/>
      <c r="F39" s="23"/>
      <c r="G39" s="23"/>
      <c r="H39" s="23"/>
      <c r="I39" s="23"/>
      <c r="J39" s="23"/>
      <c r="K39" s="23"/>
      <c r="L39" s="23"/>
      <c r="M39" s="23"/>
      <c r="N39" s="27"/>
      <c r="O39" s="23"/>
      <c r="P39" s="23"/>
      <c r="Q39" s="27"/>
      <c r="R39" s="27"/>
      <c r="S39" s="27"/>
    </row>
    <row r="40" spans="1:19" x14ac:dyDescent="0.25">
      <c r="A40" s="876"/>
      <c r="B40" s="4"/>
      <c r="C40" s="23"/>
      <c r="D40" s="23"/>
      <c r="E40" s="23"/>
      <c r="F40" s="23"/>
      <c r="G40" s="23"/>
      <c r="H40" s="23"/>
      <c r="I40" s="23"/>
      <c r="J40" s="23"/>
      <c r="K40" s="23"/>
      <c r="L40" s="23"/>
      <c r="M40" s="23"/>
      <c r="N40" s="27"/>
      <c r="O40" s="23"/>
      <c r="P40" s="23"/>
      <c r="Q40" s="27"/>
      <c r="R40" s="27"/>
      <c r="S40" s="27"/>
    </row>
    <row r="41" spans="1:19" x14ac:dyDescent="0.25">
      <c r="A41" s="876"/>
      <c r="B41" s="4"/>
      <c r="C41" s="23"/>
      <c r="D41" s="23"/>
      <c r="E41" s="23"/>
      <c r="F41" s="23"/>
      <c r="G41" s="23"/>
      <c r="H41" s="23"/>
      <c r="I41" s="23"/>
      <c r="J41" s="23"/>
      <c r="K41" s="23"/>
      <c r="L41" s="23"/>
      <c r="M41" s="23"/>
      <c r="N41" s="27"/>
      <c r="O41" s="23"/>
      <c r="P41" s="23"/>
      <c r="Q41" s="27"/>
      <c r="R41" s="27"/>
      <c r="S41" s="27"/>
    </row>
    <row r="42" spans="1:19" x14ac:dyDescent="0.25">
      <c r="A42" s="876"/>
      <c r="B42" s="4"/>
      <c r="C42" s="23"/>
      <c r="D42" s="23"/>
      <c r="E42" s="23"/>
      <c r="F42" s="23"/>
      <c r="G42" s="23"/>
      <c r="H42" s="23"/>
      <c r="I42" s="23"/>
      <c r="J42" s="23"/>
      <c r="K42" s="23"/>
      <c r="L42" s="23"/>
      <c r="M42" s="23"/>
      <c r="N42" s="27"/>
      <c r="O42" s="23"/>
      <c r="P42" s="23"/>
      <c r="Q42" s="27"/>
      <c r="R42" s="27"/>
      <c r="S42" s="27"/>
    </row>
    <row r="43" spans="1:19" x14ac:dyDescent="0.25">
      <c r="A43" s="876"/>
      <c r="B43" s="4"/>
      <c r="C43" s="23"/>
      <c r="D43" s="23"/>
      <c r="E43" s="23"/>
      <c r="F43" s="23"/>
      <c r="G43" s="23"/>
      <c r="H43" s="23"/>
      <c r="I43" s="23"/>
      <c r="J43" s="23"/>
      <c r="K43" s="23"/>
      <c r="L43" s="23"/>
      <c r="M43" s="23"/>
      <c r="N43" s="27"/>
      <c r="O43" s="23"/>
      <c r="P43" s="23"/>
      <c r="Q43" s="27"/>
      <c r="R43" s="27"/>
      <c r="S43" s="27"/>
    </row>
    <row r="44" spans="1:19" x14ac:dyDescent="0.25">
      <c r="A44" s="876"/>
      <c r="B44" s="4"/>
      <c r="C44" s="23"/>
      <c r="D44" s="23"/>
      <c r="E44" s="23"/>
      <c r="F44" s="23"/>
      <c r="G44" s="23"/>
      <c r="H44" s="23"/>
      <c r="I44" s="23"/>
      <c r="J44" s="23"/>
      <c r="K44" s="23"/>
      <c r="L44" s="23"/>
      <c r="M44" s="23"/>
      <c r="N44" s="27"/>
      <c r="O44" s="23"/>
      <c r="P44" s="23"/>
      <c r="Q44" s="27"/>
      <c r="R44" s="27"/>
      <c r="S44" s="27"/>
    </row>
    <row r="45" spans="1:19" x14ac:dyDescent="0.25">
      <c r="A45" s="876"/>
      <c r="B45" s="4"/>
      <c r="C45" s="23"/>
      <c r="D45" s="23"/>
      <c r="E45" s="23"/>
      <c r="F45" s="23"/>
      <c r="G45" s="23"/>
      <c r="H45" s="23"/>
      <c r="I45" s="23"/>
      <c r="J45" s="23"/>
      <c r="K45" s="23"/>
      <c r="L45" s="23"/>
      <c r="M45" s="23"/>
      <c r="N45" s="27"/>
      <c r="O45" s="23"/>
      <c r="P45" s="23"/>
      <c r="Q45" s="27"/>
      <c r="R45" s="27"/>
      <c r="S45" s="27"/>
    </row>
    <row r="46" spans="1:19" x14ac:dyDescent="0.25">
      <c r="A46" s="876"/>
      <c r="B46" s="4"/>
      <c r="C46" s="23"/>
      <c r="D46" s="23"/>
      <c r="E46" s="23"/>
      <c r="F46" s="23"/>
      <c r="G46" s="23"/>
      <c r="H46" s="23"/>
      <c r="I46" s="23"/>
      <c r="J46" s="23"/>
      <c r="K46" s="23"/>
      <c r="L46" s="23"/>
      <c r="M46" s="23"/>
      <c r="N46" s="27"/>
      <c r="O46" s="23"/>
      <c r="P46" s="23"/>
      <c r="Q46" s="27"/>
      <c r="R46" s="27"/>
      <c r="S46" s="27"/>
    </row>
    <row r="47" spans="1:19" x14ac:dyDescent="0.25">
      <c r="A47" s="876"/>
      <c r="B47" s="4"/>
      <c r="C47" s="23"/>
      <c r="D47" s="23"/>
      <c r="E47" s="23"/>
      <c r="F47" s="23"/>
      <c r="G47" s="23"/>
      <c r="H47" s="23"/>
      <c r="I47" s="23"/>
      <c r="J47" s="23"/>
      <c r="K47" s="23"/>
      <c r="L47" s="23"/>
      <c r="M47" s="23"/>
      <c r="N47" s="27"/>
      <c r="O47" s="23"/>
      <c r="P47" s="23"/>
      <c r="Q47" s="27"/>
      <c r="R47" s="27"/>
      <c r="S47" s="27"/>
    </row>
    <row r="48" spans="1:19" x14ac:dyDescent="0.25">
      <c r="A48" s="876"/>
      <c r="B48" s="4"/>
      <c r="C48" s="23"/>
      <c r="D48" s="23"/>
      <c r="E48" s="23"/>
      <c r="F48" s="23"/>
      <c r="G48" s="23"/>
      <c r="H48" s="23"/>
      <c r="I48" s="23"/>
      <c r="J48" s="23"/>
      <c r="K48" s="23"/>
      <c r="L48" s="23"/>
      <c r="M48" s="23"/>
      <c r="N48" s="27"/>
      <c r="O48" s="23"/>
      <c r="P48" s="23"/>
      <c r="Q48" s="27"/>
      <c r="R48" s="27"/>
      <c r="S48" s="27"/>
    </row>
    <row r="49" spans="1:19" x14ac:dyDescent="0.25">
      <c r="A49" s="876"/>
      <c r="B49" s="4"/>
      <c r="C49" s="23"/>
      <c r="D49" s="23"/>
      <c r="E49" s="23"/>
      <c r="F49" s="23"/>
      <c r="G49" s="23"/>
      <c r="H49" s="23"/>
      <c r="I49" s="23"/>
      <c r="J49" s="23"/>
      <c r="K49" s="23"/>
      <c r="L49" s="23"/>
      <c r="M49" s="23"/>
      <c r="N49" s="27"/>
      <c r="O49" s="23"/>
      <c r="P49" s="23"/>
      <c r="Q49" s="27"/>
      <c r="R49" s="27"/>
      <c r="S49" s="27"/>
    </row>
    <row r="50" spans="1:19" x14ac:dyDescent="0.25">
      <c r="A50" s="876"/>
      <c r="B50" s="4"/>
      <c r="C50" s="23"/>
      <c r="D50" s="23"/>
      <c r="E50" s="23"/>
      <c r="F50" s="23"/>
      <c r="G50" s="23"/>
      <c r="H50" s="23"/>
      <c r="I50" s="23"/>
      <c r="J50" s="23"/>
      <c r="K50" s="23"/>
      <c r="L50" s="23"/>
      <c r="M50" s="23"/>
      <c r="N50" s="27"/>
      <c r="O50" s="23"/>
      <c r="P50" s="23"/>
      <c r="Q50" s="27"/>
      <c r="R50" s="27"/>
      <c r="S50" s="27"/>
    </row>
    <row r="51" spans="1:19" x14ac:dyDescent="0.25">
      <c r="A51" s="876"/>
      <c r="B51" s="4"/>
      <c r="C51" s="23"/>
      <c r="D51" s="23"/>
      <c r="E51" s="23"/>
      <c r="F51" s="23"/>
      <c r="G51" s="23"/>
      <c r="H51" s="23"/>
      <c r="I51" s="23"/>
      <c r="J51" s="23"/>
      <c r="K51" s="23"/>
      <c r="L51" s="23"/>
      <c r="M51" s="23"/>
      <c r="N51" s="27"/>
      <c r="O51" s="23"/>
      <c r="P51" s="23"/>
      <c r="Q51" s="27"/>
      <c r="R51" s="27"/>
      <c r="S51" s="27"/>
    </row>
    <row r="52" spans="1:19" x14ac:dyDescent="0.25">
      <c r="A52" s="876"/>
      <c r="B52" s="4"/>
      <c r="C52" s="23"/>
      <c r="D52" s="23"/>
      <c r="E52" s="23"/>
      <c r="F52" s="23"/>
      <c r="G52" s="23"/>
      <c r="H52" s="23"/>
      <c r="I52" s="23"/>
      <c r="J52" s="23"/>
      <c r="K52" s="23"/>
      <c r="L52" s="23"/>
      <c r="M52" s="23"/>
      <c r="N52" s="27"/>
      <c r="O52" s="23"/>
      <c r="P52" s="23"/>
      <c r="Q52" s="27"/>
      <c r="R52" s="27"/>
      <c r="S52" s="27"/>
    </row>
    <row r="53" spans="1:19" x14ac:dyDescent="0.25">
      <c r="A53" s="876"/>
      <c r="B53" s="4"/>
      <c r="C53" s="23"/>
      <c r="D53" s="23"/>
      <c r="E53" s="23"/>
      <c r="F53" s="23"/>
      <c r="G53" s="23"/>
      <c r="H53" s="23"/>
      <c r="I53" s="23"/>
      <c r="J53" s="23"/>
      <c r="K53" s="23"/>
      <c r="L53" s="23"/>
      <c r="M53" s="23"/>
      <c r="N53" s="27"/>
      <c r="O53" s="23"/>
      <c r="P53" s="23"/>
      <c r="Q53" s="27"/>
      <c r="R53" s="27"/>
      <c r="S53" s="27"/>
    </row>
    <row r="54" spans="1:19" x14ac:dyDescent="0.25">
      <c r="A54" s="876"/>
      <c r="B54" s="4"/>
      <c r="C54" s="23"/>
      <c r="D54" s="23"/>
      <c r="E54" s="23"/>
      <c r="F54" s="23"/>
      <c r="G54" s="23"/>
      <c r="H54" s="23"/>
      <c r="I54" s="23"/>
      <c r="J54" s="23"/>
      <c r="K54" s="23"/>
      <c r="L54" s="23"/>
      <c r="M54" s="23"/>
      <c r="N54" s="27"/>
      <c r="O54" s="23"/>
      <c r="P54" s="23"/>
      <c r="Q54" s="27"/>
      <c r="R54" s="27"/>
      <c r="S54" s="27"/>
    </row>
    <row r="55" spans="1:19" x14ac:dyDescent="0.25">
      <c r="A55" s="876"/>
      <c r="B55" s="4"/>
      <c r="C55" s="23"/>
      <c r="D55" s="23"/>
      <c r="E55" s="23"/>
      <c r="F55" s="23"/>
      <c r="G55" s="23"/>
      <c r="H55" s="23"/>
      <c r="I55" s="23"/>
      <c r="J55" s="23"/>
      <c r="K55" s="23"/>
      <c r="L55" s="23"/>
      <c r="M55" s="23"/>
      <c r="N55" s="27"/>
      <c r="O55" s="23"/>
      <c r="P55" s="23"/>
      <c r="Q55" s="27"/>
      <c r="R55" s="27"/>
      <c r="S55" s="27"/>
    </row>
    <row r="56" spans="1:19" x14ac:dyDescent="0.25">
      <c r="A56" s="876"/>
      <c r="B56" s="4"/>
      <c r="C56" s="23"/>
      <c r="D56" s="23"/>
      <c r="E56" s="23"/>
      <c r="F56" s="23"/>
      <c r="G56" s="23"/>
      <c r="H56" s="23"/>
      <c r="I56" s="23"/>
      <c r="J56" s="23"/>
      <c r="K56" s="23"/>
      <c r="L56" s="23"/>
      <c r="M56" s="23"/>
      <c r="N56" s="27"/>
      <c r="O56" s="23"/>
      <c r="P56" s="23"/>
      <c r="Q56" s="27"/>
      <c r="R56" s="27"/>
      <c r="S56" s="27"/>
    </row>
    <row r="57" spans="1:19" x14ac:dyDescent="0.25">
      <c r="A57" s="876"/>
      <c r="B57" s="4"/>
      <c r="C57" s="23"/>
      <c r="D57" s="23"/>
      <c r="E57" s="23"/>
      <c r="F57" s="23"/>
      <c r="G57" s="23"/>
      <c r="H57" s="23"/>
      <c r="I57" s="23"/>
      <c r="J57" s="23"/>
      <c r="K57" s="23"/>
      <c r="L57" s="23"/>
      <c r="M57" s="23"/>
      <c r="N57" s="27"/>
      <c r="O57" s="23"/>
      <c r="P57" s="23"/>
      <c r="Q57" s="27"/>
      <c r="R57" s="27"/>
      <c r="S57" s="27"/>
    </row>
    <row r="58" spans="1:19" x14ac:dyDescent="0.25">
      <c r="A58" s="876"/>
      <c r="B58" s="4"/>
      <c r="C58" s="23"/>
      <c r="D58" s="23"/>
      <c r="E58" s="23"/>
      <c r="F58" s="23"/>
      <c r="G58" s="23"/>
      <c r="H58" s="23"/>
      <c r="I58" s="23"/>
      <c r="J58" s="23"/>
      <c r="K58" s="23"/>
      <c r="L58" s="23"/>
      <c r="M58" s="23"/>
      <c r="N58" s="27"/>
      <c r="O58" s="23"/>
      <c r="P58" s="23"/>
      <c r="Q58" s="27"/>
      <c r="R58" s="27"/>
      <c r="S58" s="27"/>
    </row>
    <row r="59" spans="1:19" x14ac:dyDescent="0.25">
      <c r="A59" s="876"/>
      <c r="B59" s="4"/>
      <c r="C59" s="23"/>
      <c r="D59" s="23"/>
      <c r="E59" s="23"/>
      <c r="F59" s="23"/>
      <c r="G59" s="23"/>
      <c r="H59" s="23"/>
      <c r="I59" s="23"/>
      <c r="J59" s="23"/>
      <c r="K59" s="23"/>
      <c r="L59" s="23"/>
      <c r="M59" s="23"/>
      <c r="N59" s="27"/>
      <c r="O59" s="23"/>
      <c r="P59" s="23"/>
      <c r="Q59" s="27"/>
      <c r="R59" s="27"/>
      <c r="S59" s="27"/>
    </row>
    <row r="60" spans="1:19" x14ac:dyDescent="0.25">
      <c r="A60" s="876"/>
      <c r="B60" s="4"/>
      <c r="C60" s="23"/>
      <c r="D60" s="23"/>
      <c r="E60" s="23"/>
      <c r="F60" s="23"/>
      <c r="G60" s="23"/>
      <c r="H60" s="23"/>
      <c r="I60" s="23"/>
      <c r="J60" s="23"/>
      <c r="K60" s="23"/>
      <c r="L60" s="23"/>
      <c r="M60" s="23"/>
      <c r="N60" s="27"/>
      <c r="O60" s="23"/>
      <c r="P60" s="23"/>
      <c r="Q60" s="27"/>
      <c r="R60" s="27"/>
      <c r="S60" s="27"/>
    </row>
    <row r="61" spans="1:19" x14ac:dyDescent="0.25">
      <c r="A61" s="876"/>
      <c r="B61" s="4"/>
      <c r="C61" s="23"/>
      <c r="D61" s="23"/>
      <c r="E61" s="23"/>
      <c r="F61" s="23"/>
      <c r="G61" s="23"/>
      <c r="H61" s="23"/>
      <c r="I61" s="23"/>
      <c r="J61" s="23"/>
      <c r="K61" s="23"/>
      <c r="L61" s="23"/>
      <c r="M61" s="23"/>
      <c r="N61" s="27"/>
      <c r="O61" s="23"/>
      <c r="P61" s="23"/>
      <c r="Q61" s="27"/>
      <c r="R61" s="27"/>
      <c r="S61" s="27"/>
    </row>
    <row r="62" spans="1:19" x14ac:dyDescent="0.25">
      <c r="A62" s="876"/>
      <c r="B62" s="4"/>
      <c r="C62" s="23"/>
      <c r="D62" s="23"/>
      <c r="E62" s="23"/>
      <c r="F62" s="23"/>
      <c r="G62" s="23"/>
      <c r="H62" s="23"/>
      <c r="I62" s="23"/>
      <c r="J62" s="23"/>
      <c r="K62" s="23"/>
      <c r="L62" s="23"/>
      <c r="M62" s="23"/>
      <c r="N62" s="27"/>
      <c r="O62" s="23"/>
      <c r="P62" s="23"/>
      <c r="Q62" s="27"/>
      <c r="R62" s="27"/>
      <c r="S62" s="27"/>
    </row>
    <row r="63" spans="1:19" x14ac:dyDescent="0.25">
      <c r="A63" s="876"/>
      <c r="B63" s="4"/>
      <c r="C63" s="23"/>
      <c r="D63" s="23"/>
      <c r="E63" s="23"/>
      <c r="F63" s="23"/>
      <c r="G63" s="23"/>
      <c r="H63" s="23"/>
      <c r="I63" s="23"/>
      <c r="J63" s="23"/>
      <c r="K63" s="23"/>
      <c r="L63" s="23"/>
      <c r="M63" s="23"/>
      <c r="N63" s="27"/>
      <c r="O63" s="23"/>
      <c r="P63" s="23"/>
      <c r="Q63" s="27"/>
      <c r="R63" s="27"/>
      <c r="S63" s="27"/>
    </row>
    <row r="64" spans="1:19" x14ac:dyDescent="0.25">
      <c r="A64" s="876"/>
      <c r="B64" s="4"/>
      <c r="C64" s="23"/>
      <c r="D64" s="23"/>
      <c r="E64" s="23"/>
      <c r="F64" s="23"/>
      <c r="G64" s="23"/>
      <c r="H64" s="23"/>
      <c r="I64" s="23"/>
      <c r="J64" s="23"/>
      <c r="K64" s="23"/>
      <c r="L64" s="23"/>
      <c r="M64" s="23"/>
      <c r="N64" s="27"/>
      <c r="O64" s="23"/>
      <c r="P64" s="23"/>
      <c r="Q64" s="27"/>
      <c r="R64" s="27"/>
      <c r="S64" s="27"/>
    </row>
    <row r="65" spans="1:19" x14ac:dyDescent="0.25">
      <c r="A65" s="876"/>
      <c r="B65" s="4"/>
      <c r="C65" s="23"/>
      <c r="D65" s="23"/>
      <c r="E65" s="23"/>
      <c r="F65" s="23"/>
      <c r="G65" s="23"/>
      <c r="H65" s="23"/>
      <c r="I65" s="23"/>
      <c r="J65" s="23"/>
      <c r="K65" s="23"/>
      <c r="L65" s="23"/>
      <c r="M65" s="23"/>
      <c r="N65" s="27"/>
      <c r="O65" s="23"/>
      <c r="P65" s="23"/>
      <c r="Q65" s="27"/>
      <c r="R65" s="27"/>
      <c r="S65" s="27"/>
    </row>
    <row r="66" spans="1:19" x14ac:dyDescent="0.25">
      <c r="A66" s="876"/>
      <c r="B66" s="4"/>
      <c r="C66" s="23"/>
      <c r="D66" s="23"/>
      <c r="E66" s="23"/>
      <c r="F66" s="23"/>
      <c r="G66" s="23"/>
      <c r="H66" s="23"/>
      <c r="I66" s="23"/>
      <c r="J66" s="23"/>
      <c r="K66" s="23"/>
      <c r="L66" s="23"/>
      <c r="M66" s="23"/>
      <c r="N66" s="27"/>
      <c r="O66" s="23"/>
      <c r="P66" s="23"/>
      <c r="Q66" s="27"/>
      <c r="R66" s="27"/>
      <c r="S66" s="27"/>
    </row>
    <row r="67" spans="1:19" x14ac:dyDescent="0.25">
      <c r="A67" s="876"/>
      <c r="B67" s="4"/>
      <c r="C67" s="23"/>
      <c r="D67" s="23"/>
      <c r="E67" s="23"/>
      <c r="F67" s="23"/>
      <c r="G67" s="23"/>
      <c r="H67" s="23"/>
      <c r="I67" s="23"/>
      <c r="J67" s="23"/>
      <c r="K67" s="23"/>
      <c r="L67" s="23"/>
      <c r="M67" s="23"/>
      <c r="N67" s="27"/>
      <c r="O67" s="23"/>
      <c r="P67" s="23"/>
      <c r="Q67" s="27"/>
      <c r="R67" s="27"/>
      <c r="S67" s="27"/>
    </row>
    <row r="68" spans="1:19" x14ac:dyDescent="0.25">
      <c r="A68" s="876"/>
      <c r="B68" s="4"/>
      <c r="C68" s="23"/>
      <c r="D68" s="23"/>
      <c r="E68" s="23"/>
      <c r="F68" s="23"/>
      <c r="G68" s="23"/>
      <c r="H68" s="23"/>
      <c r="I68" s="23"/>
      <c r="J68" s="23"/>
      <c r="K68" s="23"/>
      <c r="L68" s="23"/>
      <c r="M68" s="23"/>
      <c r="N68" s="27"/>
      <c r="O68" s="23"/>
      <c r="P68" s="23"/>
      <c r="Q68" s="27"/>
      <c r="R68" s="27"/>
      <c r="S68" s="27"/>
    </row>
    <row r="69" spans="1:19" x14ac:dyDescent="0.25">
      <c r="A69" s="876"/>
      <c r="B69" s="4"/>
      <c r="C69" s="23"/>
      <c r="D69" s="23"/>
      <c r="E69" s="23"/>
      <c r="F69" s="23"/>
      <c r="G69" s="23"/>
      <c r="H69" s="23"/>
      <c r="I69" s="23"/>
      <c r="J69" s="23"/>
      <c r="K69" s="23"/>
      <c r="L69" s="23"/>
      <c r="M69" s="23"/>
      <c r="N69" s="4"/>
      <c r="O69" s="23"/>
      <c r="P69" s="23"/>
      <c r="Q69" s="4"/>
      <c r="R69" s="4"/>
      <c r="S69" s="4"/>
    </row>
    <row r="70" spans="1:19" x14ac:dyDescent="0.25">
      <c r="A70" s="876"/>
      <c r="B70" s="4"/>
      <c r="C70" s="23"/>
      <c r="D70" s="23"/>
      <c r="E70" s="23"/>
      <c r="F70" s="23"/>
      <c r="G70" s="23"/>
      <c r="H70" s="23"/>
      <c r="I70" s="23"/>
      <c r="J70" s="23"/>
      <c r="K70" s="23"/>
      <c r="L70" s="23"/>
      <c r="M70" s="23"/>
      <c r="N70" s="4"/>
      <c r="O70" s="23"/>
      <c r="P70" s="23"/>
      <c r="Q70" s="4"/>
      <c r="R70" s="4"/>
      <c r="S70" s="4"/>
    </row>
    <row r="71" spans="1:19" x14ac:dyDescent="0.25">
      <c r="A71" s="876"/>
      <c r="B71" s="4"/>
      <c r="C71" s="23"/>
      <c r="D71" s="23"/>
      <c r="E71" s="23"/>
      <c r="F71" s="23"/>
      <c r="G71" s="23"/>
      <c r="H71" s="23"/>
      <c r="I71" s="23"/>
      <c r="J71" s="23"/>
      <c r="K71" s="23"/>
      <c r="L71" s="23"/>
      <c r="M71" s="23"/>
      <c r="N71" s="4"/>
      <c r="O71" s="23"/>
      <c r="P71" s="23"/>
      <c r="Q71" s="4"/>
      <c r="R71" s="4"/>
      <c r="S71" s="4"/>
    </row>
    <row r="72" spans="1:19" x14ac:dyDescent="0.25">
      <c r="A72" s="876"/>
      <c r="B72" s="4"/>
      <c r="C72" s="23"/>
      <c r="D72" s="23"/>
      <c r="E72" s="23"/>
      <c r="F72" s="23"/>
      <c r="G72" s="23"/>
      <c r="H72" s="23"/>
      <c r="I72" s="23"/>
      <c r="J72" s="23"/>
      <c r="K72" s="23"/>
      <c r="L72" s="23"/>
      <c r="M72" s="23"/>
      <c r="N72" s="4"/>
      <c r="O72" s="23"/>
      <c r="P72" s="23"/>
      <c r="Q72" s="4"/>
      <c r="R72" s="4"/>
      <c r="S72" s="4"/>
    </row>
    <row r="73" spans="1:19" x14ac:dyDescent="0.25">
      <c r="A73" s="876"/>
      <c r="B73" s="4"/>
      <c r="C73" s="23"/>
      <c r="D73" s="23"/>
      <c r="E73" s="23"/>
      <c r="F73" s="23"/>
      <c r="G73" s="23"/>
      <c r="H73" s="23"/>
      <c r="I73" s="23"/>
      <c r="J73" s="23"/>
      <c r="K73" s="23"/>
      <c r="L73" s="23"/>
      <c r="M73" s="23"/>
      <c r="N73" s="4"/>
      <c r="O73" s="23"/>
      <c r="P73" s="23"/>
      <c r="Q73" s="4"/>
      <c r="R73" s="4"/>
      <c r="S73" s="4"/>
    </row>
    <row r="74" spans="1:19" x14ac:dyDescent="0.25">
      <c r="A74" s="876"/>
      <c r="B74" s="4"/>
      <c r="C74" s="23"/>
      <c r="D74" s="23"/>
      <c r="E74" s="23"/>
      <c r="F74" s="23"/>
      <c r="G74" s="23"/>
      <c r="H74" s="23"/>
      <c r="I74" s="23"/>
      <c r="J74" s="23"/>
      <c r="K74" s="23"/>
      <c r="L74" s="23"/>
      <c r="M74" s="23"/>
      <c r="N74" s="4"/>
      <c r="O74" s="23"/>
      <c r="P74" s="23"/>
      <c r="Q74" s="4"/>
      <c r="R74" s="4"/>
      <c r="S74" s="4"/>
    </row>
    <row r="75" spans="1:19" x14ac:dyDescent="0.25">
      <c r="A75" s="876"/>
      <c r="B75" s="4"/>
      <c r="C75" s="23"/>
      <c r="D75" s="23"/>
      <c r="E75" s="23"/>
      <c r="F75" s="23"/>
      <c r="G75" s="23"/>
      <c r="H75" s="23"/>
      <c r="I75" s="23"/>
      <c r="J75" s="23"/>
      <c r="K75" s="23"/>
      <c r="L75" s="23"/>
      <c r="M75" s="23"/>
      <c r="N75" s="4"/>
      <c r="O75" s="23"/>
      <c r="P75" s="23"/>
      <c r="Q75" s="4"/>
      <c r="R75" s="4"/>
      <c r="S75" s="4"/>
    </row>
    <row r="76" spans="1:19" x14ac:dyDescent="0.25">
      <c r="A76" s="876"/>
      <c r="B76" s="4"/>
      <c r="C76" s="23"/>
      <c r="D76" s="23"/>
      <c r="E76" s="23"/>
      <c r="F76" s="23"/>
      <c r="G76" s="23"/>
      <c r="H76" s="23"/>
      <c r="I76" s="23"/>
      <c r="J76" s="23"/>
      <c r="K76" s="23"/>
      <c r="L76" s="23"/>
      <c r="M76" s="23"/>
      <c r="N76" s="4"/>
      <c r="O76" s="23"/>
      <c r="P76" s="23"/>
      <c r="Q76" s="4"/>
      <c r="R76" s="4"/>
      <c r="S76" s="4"/>
    </row>
    <row r="77" spans="1:19" x14ac:dyDescent="0.25">
      <c r="A77" s="876"/>
      <c r="B77" s="4"/>
      <c r="C77" s="23"/>
      <c r="D77" s="23"/>
      <c r="E77" s="23"/>
      <c r="F77" s="23"/>
      <c r="G77" s="23"/>
      <c r="H77" s="23"/>
      <c r="I77" s="23"/>
      <c r="J77" s="23"/>
      <c r="K77" s="23"/>
      <c r="L77" s="23"/>
      <c r="M77" s="23"/>
      <c r="N77" s="4"/>
      <c r="O77" s="23"/>
      <c r="P77" s="23"/>
      <c r="Q77" s="4"/>
      <c r="R77" s="4"/>
      <c r="S77" s="4"/>
    </row>
    <row r="78" spans="1:19" x14ac:dyDescent="0.25">
      <c r="A78" s="876"/>
      <c r="B78" s="4"/>
      <c r="C78" s="23"/>
      <c r="D78" s="23"/>
      <c r="E78" s="23"/>
      <c r="F78" s="23"/>
      <c r="G78" s="23"/>
      <c r="H78" s="23"/>
      <c r="I78" s="23"/>
      <c r="J78" s="23"/>
      <c r="K78" s="23"/>
      <c r="L78" s="23"/>
      <c r="M78" s="23"/>
      <c r="N78" s="4"/>
      <c r="O78" s="23"/>
      <c r="P78" s="23"/>
      <c r="Q78" s="4"/>
      <c r="R78" s="4"/>
      <c r="S78" s="4"/>
    </row>
    <row r="79" spans="1:19" x14ac:dyDescent="0.25">
      <c r="A79" s="876"/>
      <c r="B79" s="4"/>
      <c r="C79" s="23"/>
      <c r="D79" s="23"/>
      <c r="E79" s="23"/>
      <c r="F79" s="23"/>
      <c r="G79" s="23"/>
      <c r="H79" s="23"/>
      <c r="I79" s="23"/>
      <c r="J79" s="23"/>
      <c r="K79" s="23"/>
      <c r="L79" s="23"/>
      <c r="M79" s="23"/>
      <c r="N79" s="4"/>
      <c r="O79" s="23"/>
      <c r="P79" s="23"/>
      <c r="Q79" s="4"/>
      <c r="R79" s="4"/>
      <c r="S79" s="4"/>
    </row>
    <row r="80" spans="1:19" x14ac:dyDescent="0.25">
      <c r="A80" s="876"/>
      <c r="B80" s="4"/>
      <c r="C80" s="23"/>
      <c r="D80" s="23"/>
      <c r="E80" s="23"/>
      <c r="F80" s="23"/>
      <c r="G80" s="23"/>
      <c r="H80" s="23"/>
      <c r="I80" s="23"/>
      <c r="J80" s="23"/>
      <c r="K80" s="23"/>
      <c r="L80" s="23"/>
      <c r="M80" s="23"/>
      <c r="N80" s="4"/>
      <c r="O80" s="23"/>
      <c r="P80" s="23"/>
      <c r="Q80" s="4"/>
      <c r="R80" s="4"/>
      <c r="S80" s="4"/>
    </row>
    <row r="81" spans="1:19" x14ac:dyDescent="0.25">
      <c r="A81" s="876"/>
      <c r="B81" s="4"/>
      <c r="C81" s="23"/>
      <c r="D81" s="23"/>
      <c r="E81" s="23"/>
      <c r="F81" s="23"/>
      <c r="G81" s="23"/>
      <c r="H81" s="23"/>
      <c r="I81" s="23"/>
      <c r="J81" s="23"/>
      <c r="K81" s="23"/>
      <c r="L81" s="23"/>
      <c r="M81" s="23"/>
      <c r="N81" s="4"/>
      <c r="O81" s="23"/>
      <c r="P81" s="23"/>
      <c r="Q81" s="4"/>
      <c r="R81" s="4"/>
      <c r="S81" s="4"/>
    </row>
    <row r="82" spans="1:19" x14ac:dyDescent="0.25">
      <c r="A82" s="876"/>
      <c r="B82" s="4"/>
      <c r="C82" s="23"/>
      <c r="D82" s="23"/>
      <c r="E82" s="23"/>
      <c r="F82" s="23"/>
      <c r="G82" s="23"/>
      <c r="H82" s="23"/>
      <c r="I82" s="23"/>
      <c r="J82" s="23"/>
      <c r="K82" s="23"/>
      <c r="L82" s="23"/>
      <c r="M82" s="23"/>
      <c r="N82" s="4"/>
      <c r="O82" s="23"/>
      <c r="P82" s="23"/>
      <c r="Q82" s="4"/>
      <c r="R82" s="4"/>
      <c r="S82" s="4"/>
    </row>
    <row r="83" spans="1:19" x14ac:dyDescent="0.25">
      <c r="A83" s="876"/>
      <c r="B83" s="4"/>
      <c r="C83" s="23"/>
      <c r="D83" s="23"/>
      <c r="E83" s="23"/>
      <c r="F83" s="23"/>
      <c r="G83" s="23"/>
      <c r="H83" s="23"/>
      <c r="I83" s="23"/>
      <c r="J83" s="23"/>
      <c r="K83" s="23"/>
      <c r="L83" s="23"/>
      <c r="M83" s="23"/>
      <c r="N83" s="4"/>
      <c r="O83" s="23"/>
      <c r="P83" s="23"/>
      <c r="Q83" s="4"/>
      <c r="R83" s="4"/>
      <c r="S83" s="4"/>
    </row>
    <row r="84" spans="1:19" x14ac:dyDescent="0.25">
      <c r="A84" s="876"/>
      <c r="B84" s="4"/>
      <c r="C84" s="23"/>
      <c r="D84" s="23"/>
      <c r="E84" s="23"/>
      <c r="F84" s="23"/>
      <c r="G84" s="23"/>
      <c r="H84" s="23"/>
      <c r="I84" s="23"/>
      <c r="J84" s="23"/>
      <c r="K84" s="23"/>
      <c r="L84" s="23"/>
      <c r="M84" s="23"/>
      <c r="N84" s="4"/>
      <c r="O84" s="23"/>
      <c r="P84" s="23"/>
      <c r="Q84" s="4"/>
      <c r="R84" s="4"/>
      <c r="S84" s="4"/>
    </row>
    <row r="85" spans="1:19" x14ac:dyDescent="0.25">
      <c r="A85" s="876"/>
      <c r="B85" s="4"/>
      <c r="C85" s="23"/>
      <c r="D85" s="23"/>
      <c r="E85" s="23"/>
      <c r="F85" s="23"/>
      <c r="G85" s="23"/>
      <c r="H85" s="23"/>
      <c r="I85" s="23"/>
      <c r="J85" s="23"/>
      <c r="K85" s="23"/>
      <c r="L85" s="23"/>
      <c r="M85" s="23"/>
      <c r="N85" s="4"/>
      <c r="O85" s="23"/>
      <c r="P85" s="23"/>
      <c r="Q85" s="4"/>
      <c r="R85" s="4"/>
      <c r="S85" s="4"/>
    </row>
    <row r="86" spans="1:19" x14ac:dyDescent="0.25">
      <c r="A86" s="876"/>
      <c r="B86" s="4"/>
      <c r="C86" s="23"/>
      <c r="D86" s="23"/>
      <c r="E86" s="23"/>
      <c r="F86" s="23"/>
      <c r="G86" s="23"/>
      <c r="H86" s="23"/>
      <c r="I86" s="23"/>
      <c r="J86" s="23"/>
      <c r="K86" s="23"/>
      <c r="L86" s="23"/>
      <c r="M86" s="23"/>
      <c r="N86" s="4"/>
      <c r="O86" s="23"/>
      <c r="P86" s="23"/>
      <c r="Q86" s="4"/>
      <c r="R86" s="4"/>
      <c r="S86" s="4"/>
    </row>
    <row r="87" spans="1:19" x14ac:dyDescent="0.25">
      <c r="A87" s="876"/>
      <c r="B87" s="4"/>
      <c r="C87" s="23"/>
      <c r="D87" s="23"/>
      <c r="E87" s="23"/>
      <c r="F87" s="23"/>
      <c r="G87" s="23"/>
      <c r="H87" s="23"/>
      <c r="I87" s="23"/>
      <c r="J87" s="23"/>
      <c r="K87" s="23"/>
      <c r="L87" s="23"/>
      <c r="M87" s="23"/>
      <c r="N87" s="4"/>
      <c r="O87" s="23"/>
      <c r="P87" s="23"/>
      <c r="Q87" s="4"/>
      <c r="R87" s="4"/>
      <c r="S87" s="4"/>
    </row>
    <row r="88" spans="1:19" x14ac:dyDescent="0.25">
      <c r="A88" s="876"/>
      <c r="B88" s="4"/>
      <c r="C88" s="23"/>
      <c r="D88" s="23"/>
      <c r="E88" s="23"/>
      <c r="F88" s="23"/>
      <c r="G88" s="23"/>
      <c r="H88" s="23"/>
      <c r="I88" s="23"/>
      <c r="J88" s="23"/>
      <c r="K88" s="23"/>
      <c r="L88" s="23"/>
      <c r="M88" s="23"/>
      <c r="N88" s="4"/>
      <c r="O88" s="23"/>
      <c r="P88" s="23"/>
      <c r="Q88" s="4"/>
      <c r="R88" s="4"/>
      <c r="S88" s="4"/>
    </row>
    <row r="89" spans="1:19" x14ac:dyDescent="0.25">
      <c r="A89" s="876"/>
      <c r="B89" s="4"/>
      <c r="C89" s="23"/>
      <c r="D89" s="23"/>
      <c r="E89" s="23"/>
      <c r="F89" s="23"/>
      <c r="G89" s="23"/>
      <c r="H89" s="23"/>
      <c r="I89" s="23"/>
      <c r="J89" s="23"/>
      <c r="K89" s="23"/>
      <c r="L89" s="23"/>
      <c r="M89" s="23"/>
      <c r="N89" s="4"/>
      <c r="O89" s="23"/>
      <c r="P89" s="23"/>
      <c r="Q89" s="4"/>
      <c r="R89" s="4"/>
      <c r="S89" s="4"/>
    </row>
    <row r="90" spans="1:19" x14ac:dyDescent="0.25">
      <c r="A90" s="876"/>
      <c r="B90" s="4"/>
      <c r="C90" s="23"/>
      <c r="D90" s="23"/>
      <c r="E90" s="23"/>
      <c r="F90" s="23"/>
      <c r="G90" s="23"/>
      <c r="H90" s="23"/>
      <c r="I90" s="23"/>
      <c r="J90" s="23"/>
      <c r="K90" s="23"/>
      <c r="L90" s="23"/>
      <c r="M90" s="23"/>
      <c r="N90" s="4"/>
      <c r="O90" s="23"/>
      <c r="P90" s="23"/>
      <c r="Q90" s="4"/>
      <c r="R90" s="4"/>
      <c r="S90" s="4"/>
    </row>
    <row r="91" spans="1:19" x14ac:dyDescent="0.25">
      <c r="A91" s="876"/>
      <c r="B91" s="4"/>
      <c r="C91" s="23"/>
      <c r="D91" s="23"/>
      <c r="E91" s="23"/>
      <c r="F91" s="23"/>
      <c r="G91" s="23"/>
      <c r="H91" s="23"/>
      <c r="I91" s="23"/>
      <c r="J91" s="23"/>
      <c r="K91" s="23"/>
      <c r="L91" s="23"/>
      <c r="M91" s="23"/>
      <c r="N91" s="4"/>
      <c r="O91" s="23"/>
      <c r="P91" s="23"/>
      <c r="Q91" s="4"/>
      <c r="R91" s="4"/>
      <c r="S91" s="4"/>
    </row>
    <row r="92" spans="1:19" x14ac:dyDescent="0.25">
      <c r="A92" s="876"/>
      <c r="B92" s="4"/>
      <c r="C92" s="23"/>
      <c r="D92" s="23"/>
      <c r="E92" s="23"/>
      <c r="F92" s="23"/>
      <c r="G92" s="23"/>
      <c r="H92" s="23"/>
      <c r="I92" s="23"/>
      <c r="J92" s="23"/>
      <c r="K92" s="23"/>
      <c r="L92" s="23"/>
      <c r="M92" s="23"/>
      <c r="N92" s="4"/>
      <c r="O92" s="23"/>
      <c r="P92" s="23"/>
      <c r="Q92" s="4"/>
      <c r="R92" s="4"/>
      <c r="S92" s="4"/>
    </row>
    <row r="93" spans="1:19" x14ac:dyDescent="0.25">
      <c r="A93" s="876"/>
      <c r="B93" s="4"/>
      <c r="C93" s="23"/>
      <c r="D93" s="23"/>
      <c r="E93" s="23"/>
      <c r="F93" s="23"/>
      <c r="G93" s="23"/>
      <c r="H93" s="23"/>
      <c r="I93" s="23"/>
      <c r="J93" s="23"/>
      <c r="K93" s="23"/>
      <c r="L93" s="23"/>
      <c r="M93" s="23"/>
      <c r="N93" s="4"/>
      <c r="O93" s="23"/>
      <c r="P93" s="23"/>
      <c r="Q93" s="4"/>
      <c r="R93" s="4"/>
      <c r="S93" s="4"/>
    </row>
    <row r="94" spans="1:19" x14ac:dyDescent="0.25">
      <c r="A94" s="876"/>
      <c r="B94" s="4"/>
      <c r="C94" s="23"/>
      <c r="D94" s="23"/>
      <c r="E94" s="23"/>
      <c r="F94" s="23"/>
      <c r="G94" s="23"/>
      <c r="H94" s="23"/>
      <c r="I94" s="23"/>
      <c r="J94" s="23"/>
      <c r="K94" s="23"/>
      <c r="L94" s="23"/>
      <c r="M94" s="23"/>
      <c r="N94" s="4"/>
      <c r="O94" s="23"/>
      <c r="P94" s="23"/>
      <c r="Q94" s="4"/>
      <c r="R94" s="4"/>
      <c r="S94" s="4"/>
    </row>
    <row r="95" spans="1:19" x14ac:dyDescent="0.25">
      <c r="A95" s="876"/>
      <c r="B95" s="4"/>
      <c r="C95" s="23"/>
      <c r="D95" s="23"/>
      <c r="E95" s="23"/>
      <c r="F95" s="23"/>
      <c r="G95" s="23"/>
      <c r="H95" s="23"/>
      <c r="I95" s="23"/>
      <c r="J95" s="23"/>
      <c r="K95" s="23"/>
      <c r="L95" s="23"/>
      <c r="M95" s="23"/>
      <c r="N95" s="4"/>
      <c r="O95" s="23"/>
      <c r="P95" s="23"/>
      <c r="Q95" s="4"/>
      <c r="R95" s="4"/>
      <c r="S95" s="4"/>
    </row>
    <row r="96" spans="1:19" x14ac:dyDescent="0.25">
      <c r="A96" s="876"/>
      <c r="B96" s="4"/>
      <c r="C96" s="23"/>
      <c r="D96" s="23"/>
      <c r="E96" s="23"/>
      <c r="F96" s="23"/>
      <c r="G96" s="23"/>
      <c r="H96" s="23"/>
      <c r="I96" s="23"/>
      <c r="J96" s="23"/>
      <c r="K96" s="23"/>
      <c r="L96" s="23"/>
      <c r="M96" s="23"/>
      <c r="N96" s="4"/>
      <c r="O96" s="23"/>
      <c r="P96" s="23"/>
      <c r="Q96" s="4"/>
      <c r="R96" s="4"/>
      <c r="S96" s="4"/>
    </row>
    <row r="97" spans="1:19" x14ac:dyDescent="0.25">
      <c r="A97" s="876"/>
      <c r="B97" s="4"/>
      <c r="C97" s="23"/>
      <c r="D97" s="23"/>
      <c r="E97" s="23"/>
      <c r="F97" s="23"/>
      <c r="G97" s="23"/>
      <c r="H97" s="23"/>
      <c r="I97" s="23"/>
      <c r="J97" s="23"/>
      <c r="K97" s="23"/>
      <c r="L97" s="23"/>
      <c r="M97" s="23"/>
      <c r="N97" s="4"/>
      <c r="O97" s="23"/>
      <c r="P97" s="23"/>
      <c r="Q97" s="4"/>
      <c r="R97" s="4"/>
      <c r="S97" s="4"/>
    </row>
    <row r="98" spans="1:19" x14ac:dyDescent="0.25">
      <c r="A98" s="876"/>
      <c r="B98" s="4"/>
      <c r="C98" s="23"/>
      <c r="D98" s="23"/>
      <c r="E98" s="23"/>
      <c r="F98" s="23"/>
      <c r="G98" s="23"/>
      <c r="H98" s="23"/>
      <c r="I98" s="23"/>
      <c r="J98" s="23"/>
      <c r="K98" s="23"/>
      <c r="L98" s="23"/>
      <c r="M98" s="23"/>
      <c r="N98" s="4"/>
      <c r="O98" s="23"/>
      <c r="P98" s="23"/>
      <c r="Q98" s="4"/>
      <c r="R98" s="4"/>
      <c r="S98" s="4"/>
    </row>
    <row r="99" spans="1:19" x14ac:dyDescent="0.25">
      <c r="A99" s="876"/>
      <c r="B99" s="4"/>
      <c r="C99" s="23"/>
      <c r="D99" s="23"/>
      <c r="E99" s="23"/>
      <c r="F99" s="23"/>
      <c r="G99" s="23"/>
      <c r="H99" s="23"/>
      <c r="I99" s="23"/>
      <c r="J99" s="23"/>
      <c r="K99" s="23"/>
      <c r="L99" s="23"/>
      <c r="M99" s="23"/>
      <c r="N99" s="4"/>
      <c r="O99" s="23"/>
      <c r="P99" s="23"/>
      <c r="Q99" s="4"/>
      <c r="R99" s="4"/>
      <c r="S99" s="4"/>
    </row>
    <row r="100" spans="1:19" x14ac:dyDescent="0.25">
      <c r="A100" s="876"/>
      <c r="B100" s="4"/>
      <c r="C100" s="23"/>
      <c r="D100" s="23"/>
      <c r="E100" s="23"/>
      <c r="F100" s="23"/>
      <c r="G100" s="23"/>
      <c r="H100" s="23"/>
      <c r="I100" s="23"/>
      <c r="J100" s="23"/>
      <c r="K100" s="23"/>
      <c r="L100" s="23"/>
      <c r="M100" s="23"/>
      <c r="N100" s="4"/>
      <c r="O100" s="23"/>
      <c r="P100" s="23"/>
      <c r="Q100" s="4"/>
      <c r="R100" s="4"/>
      <c r="S100" s="4"/>
    </row>
    <row r="101" spans="1:19" x14ac:dyDescent="0.25">
      <c r="A101" s="876"/>
      <c r="B101" s="4"/>
      <c r="C101" s="23"/>
      <c r="D101" s="23"/>
      <c r="E101" s="23"/>
      <c r="F101" s="23"/>
      <c r="G101" s="23"/>
      <c r="H101" s="23"/>
      <c r="I101" s="23"/>
      <c r="J101" s="23"/>
      <c r="K101" s="23"/>
      <c r="L101" s="23"/>
      <c r="M101" s="23"/>
      <c r="N101" s="4"/>
      <c r="O101" s="23"/>
      <c r="P101" s="23"/>
      <c r="Q101" s="4"/>
      <c r="R101" s="4"/>
      <c r="S101" s="4"/>
    </row>
    <row r="102" spans="1:19" x14ac:dyDescent="0.25">
      <c r="A102" s="876"/>
      <c r="B102" s="4"/>
      <c r="C102" s="23"/>
      <c r="D102" s="23"/>
      <c r="E102" s="23"/>
      <c r="F102" s="23"/>
      <c r="G102" s="23"/>
      <c r="H102" s="23"/>
      <c r="I102" s="23"/>
      <c r="J102" s="23"/>
      <c r="K102" s="23"/>
      <c r="L102" s="23"/>
      <c r="M102" s="23"/>
      <c r="N102" s="4"/>
      <c r="O102" s="23"/>
      <c r="P102" s="23"/>
      <c r="Q102" s="4"/>
      <c r="R102" s="4"/>
      <c r="S102" s="4"/>
    </row>
    <row r="103" spans="1:19" x14ac:dyDescent="0.25">
      <c r="A103" s="876"/>
      <c r="B103" s="4"/>
      <c r="C103" s="23"/>
      <c r="D103" s="23"/>
      <c r="E103" s="23"/>
      <c r="F103" s="23"/>
      <c r="G103" s="23"/>
      <c r="H103" s="23"/>
      <c r="I103" s="23"/>
      <c r="J103" s="23"/>
      <c r="K103" s="23"/>
      <c r="L103" s="23"/>
      <c r="M103" s="23"/>
      <c r="N103" s="4"/>
      <c r="O103" s="23"/>
      <c r="P103" s="23"/>
      <c r="Q103" s="4"/>
      <c r="R103" s="4"/>
      <c r="S103" s="4"/>
    </row>
    <row r="104" spans="1:19" x14ac:dyDescent="0.25">
      <c r="A104" s="876"/>
      <c r="B104" s="4"/>
      <c r="C104" s="23"/>
      <c r="D104" s="23"/>
      <c r="E104" s="23"/>
      <c r="F104" s="23"/>
      <c r="G104" s="23"/>
      <c r="H104" s="23"/>
      <c r="I104" s="23"/>
      <c r="J104" s="23"/>
      <c r="K104" s="23"/>
      <c r="L104" s="23"/>
      <c r="M104" s="23"/>
      <c r="N104" s="4"/>
      <c r="O104" s="23"/>
      <c r="P104" s="23"/>
      <c r="Q104" s="4"/>
      <c r="R104" s="4"/>
      <c r="S104" s="4"/>
    </row>
    <row r="105" spans="1:19" x14ac:dyDescent="0.25">
      <c r="A105" s="876"/>
      <c r="B105" s="4"/>
      <c r="C105" s="23"/>
      <c r="D105" s="23"/>
      <c r="E105" s="23"/>
      <c r="F105" s="23"/>
      <c r="G105" s="23"/>
      <c r="H105" s="23"/>
      <c r="I105" s="23"/>
      <c r="J105" s="23"/>
      <c r="K105" s="23"/>
      <c r="L105" s="23"/>
      <c r="M105" s="23"/>
      <c r="N105" s="4"/>
      <c r="O105" s="23"/>
      <c r="P105" s="23"/>
      <c r="Q105" s="4"/>
      <c r="R105" s="4"/>
      <c r="S105" s="4"/>
    </row>
    <row r="106" spans="1:19" x14ac:dyDescent="0.25">
      <c r="A106" s="876"/>
      <c r="B106" s="4"/>
      <c r="C106" s="23"/>
      <c r="D106" s="23"/>
      <c r="E106" s="23"/>
      <c r="F106" s="23"/>
      <c r="G106" s="23"/>
      <c r="H106" s="23"/>
      <c r="I106" s="23"/>
      <c r="J106" s="23"/>
      <c r="K106" s="23"/>
      <c r="L106" s="23"/>
      <c r="M106" s="23"/>
      <c r="N106" s="4"/>
      <c r="O106" s="23"/>
      <c r="P106" s="23"/>
      <c r="Q106" s="4"/>
      <c r="R106" s="4"/>
      <c r="S106" s="4"/>
    </row>
    <row r="107" spans="1:19" x14ac:dyDescent="0.25">
      <c r="A107" s="876"/>
      <c r="B107" s="4"/>
      <c r="C107" s="23"/>
      <c r="D107" s="23"/>
      <c r="E107" s="23"/>
      <c r="F107" s="23"/>
      <c r="G107" s="23"/>
      <c r="H107" s="23"/>
      <c r="I107" s="23"/>
      <c r="J107" s="23"/>
      <c r="K107" s="23"/>
      <c r="L107" s="23"/>
      <c r="M107" s="23"/>
      <c r="N107" s="4"/>
      <c r="O107" s="23"/>
      <c r="P107" s="23"/>
      <c r="Q107" s="4"/>
      <c r="R107" s="4"/>
      <c r="S107" s="4"/>
    </row>
    <row r="108" spans="1:19" x14ac:dyDescent="0.25">
      <c r="A108" s="876"/>
      <c r="B108" s="4"/>
      <c r="C108" s="23"/>
      <c r="D108" s="23"/>
      <c r="E108" s="23"/>
      <c r="F108" s="23"/>
      <c r="G108" s="23"/>
      <c r="H108" s="23"/>
      <c r="I108" s="23"/>
      <c r="J108" s="23"/>
      <c r="K108" s="23"/>
      <c r="L108" s="23"/>
      <c r="M108" s="23"/>
      <c r="N108" s="4"/>
      <c r="O108" s="23"/>
      <c r="P108" s="23"/>
      <c r="Q108" s="4"/>
      <c r="R108" s="4"/>
      <c r="S108" s="4"/>
    </row>
    <row r="109" spans="1:19" x14ac:dyDescent="0.25">
      <c r="A109" s="876"/>
      <c r="B109" s="4"/>
      <c r="C109" s="23"/>
      <c r="D109" s="23"/>
      <c r="E109" s="23"/>
      <c r="F109" s="23"/>
      <c r="G109" s="23"/>
      <c r="H109" s="23"/>
      <c r="I109" s="23"/>
      <c r="J109" s="23"/>
      <c r="K109" s="23"/>
      <c r="L109" s="23"/>
      <c r="M109" s="23"/>
      <c r="N109" s="4"/>
      <c r="O109" s="23"/>
      <c r="P109" s="23"/>
      <c r="Q109" s="4"/>
      <c r="R109" s="4"/>
      <c r="S109" s="4"/>
    </row>
    <row r="110" spans="1:19" x14ac:dyDescent="0.25">
      <c r="A110" s="876"/>
      <c r="B110" s="4"/>
      <c r="C110" s="23"/>
      <c r="D110" s="23"/>
      <c r="E110" s="23"/>
      <c r="F110" s="23"/>
      <c r="G110" s="23"/>
      <c r="H110" s="23"/>
      <c r="I110" s="23"/>
      <c r="J110" s="23"/>
      <c r="K110" s="23"/>
      <c r="L110" s="23"/>
      <c r="M110" s="23"/>
      <c r="N110" s="4"/>
      <c r="O110" s="23"/>
      <c r="P110" s="23"/>
      <c r="Q110" s="4"/>
      <c r="R110" s="4"/>
      <c r="S110" s="4"/>
    </row>
    <row r="111" spans="1:19" x14ac:dyDescent="0.25">
      <c r="A111" s="876"/>
      <c r="B111" s="4"/>
      <c r="C111" s="23"/>
      <c r="D111" s="23"/>
      <c r="E111" s="23"/>
      <c r="F111" s="23"/>
      <c r="G111" s="23"/>
      <c r="H111" s="23"/>
      <c r="I111" s="23"/>
      <c r="J111" s="23"/>
      <c r="K111" s="23"/>
      <c r="L111" s="23"/>
      <c r="M111" s="23"/>
      <c r="N111" s="4"/>
      <c r="O111" s="23"/>
      <c r="P111" s="23"/>
      <c r="Q111" s="4"/>
      <c r="R111" s="4"/>
      <c r="S111" s="4"/>
    </row>
    <row r="112" spans="1:19" x14ac:dyDescent="0.25">
      <c r="A112" s="876"/>
      <c r="B112" s="4"/>
      <c r="C112" s="23"/>
      <c r="D112" s="23"/>
      <c r="E112" s="23"/>
      <c r="F112" s="23"/>
      <c r="G112" s="23"/>
      <c r="H112" s="23"/>
      <c r="I112" s="23"/>
      <c r="J112" s="23"/>
      <c r="K112" s="23"/>
      <c r="L112" s="23"/>
      <c r="M112" s="23"/>
      <c r="N112" s="4"/>
      <c r="O112" s="23"/>
      <c r="P112" s="23"/>
      <c r="Q112" s="4"/>
      <c r="R112" s="4"/>
      <c r="S112" s="4"/>
    </row>
    <row r="113" spans="1:19" x14ac:dyDescent="0.25">
      <c r="A113" s="876"/>
      <c r="B113" s="4"/>
      <c r="C113" s="23"/>
      <c r="D113" s="23"/>
      <c r="E113" s="23"/>
      <c r="F113" s="23"/>
      <c r="G113" s="23"/>
      <c r="H113" s="23"/>
      <c r="I113" s="23"/>
      <c r="J113" s="23"/>
      <c r="K113" s="23"/>
      <c r="L113" s="23"/>
      <c r="M113" s="23"/>
      <c r="N113" s="4"/>
      <c r="O113" s="23"/>
      <c r="P113" s="23"/>
      <c r="Q113" s="4"/>
      <c r="R113" s="4"/>
      <c r="S113" s="4"/>
    </row>
    <row r="114" spans="1:19" x14ac:dyDescent="0.25">
      <c r="A114" s="876"/>
      <c r="B114" s="4"/>
      <c r="C114" s="23"/>
      <c r="D114" s="23"/>
      <c r="E114" s="23"/>
      <c r="F114" s="23"/>
      <c r="G114" s="23"/>
      <c r="H114" s="23"/>
      <c r="I114" s="23"/>
      <c r="J114" s="23"/>
      <c r="K114" s="23"/>
      <c r="L114" s="23"/>
      <c r="M114" s="23"/>
      <c r="N114" s="4"/>
      <c r="O114" s="23"/>
      <c r="P114" s="23"/>
      <c r="Q114" s="4"/>
      <c r="R114" s="4"/>
      <c r="S114" s="4"/>
    </row>
    <row r="115" spans="1:19" x14ac:dyDescent="0.25">
      <c r="A115" s="876"/>
      <c r="B115" s="4"/>
      <c r="C115" s="23"/>
      <c r="D115" s="23"/>
      <c r="E115" s="23"/>
      <c r="F115" s="23"/>
      <c r="G115" s="23"/>
      <c r="H115" s="23"/>
      <c r="I115" s="23"/>
      <c r="J115" s="23"/>
      <c r="K115" s="23"/>
      <c r="L115" s="23"/>
      <c r="M115" s="23"/>
      <c r="N115" s="4"/>
      <c r="O115" s="23"/>
      <c r="P115" s="23"/>
      <c r="Q115" s="4"/>
      <c r="R115" s="4"/>
      <c r="S115" s="4"/>
    </row>
    <row r="116" spans="1:19" x14ac:dyDescent="0.25">
      <c r="A116" s="876"/>
      <c r="B116" s="4"/>
      <c r="C116" s="23"/>
      <c r="D116" s="23"/>
      <c r="E116" s="23"/>
      <c r="F116" s="23"/>
      <c r="G116" s="23"/>
      <c r="H116" s="23"/>
      <c r="I116" s="23"/>
      <c r="J116" s="23"/>
      <c r="K116" s="23"/>
      <c r="L116" s="23"/>
      <c r="M116" s="23"/>
      <c r="N116" s="4"/>
      <c r="O116" s="23"/>
      <c r="P116" s="23"/>
      <c r="Q116" s="4"/>
      <c r="R116" s="4"/>
      <c r="S116" s="4"/>
    </row>
    <row r="117" spans="1:19" x14ac:dyDescent="0.25">
      <c r="A117" s="876"/>
      <c r="B117" s="4"/>
      <c r="C117" s="23"/>
      <c r="D117" s="23"/>
      <c r="E117" s="23"/>
      <c r="F117" s="23"/>
      <c r="G117" s="23"/>
      <c r="H117" s="23"/>
      <c r="I117" s="23"/>
      <c r="J117" s="23"/>
      <c r="K117" s="23"/>
      <c r="L117" s="23"/>
      <c r="M117" s="23"/>
      <c r="N117" s="4"/>
      <c r="O117" s="23"/>
      <c r="P117" s="23"/>
      <c r="Q117" s="4"/>
      <c r="R117" s="4"/>
      <c r="S117" s="4"/>
    </row>
    <row r="118" spans="1:19" x14ac:dyDescent="0.25">
      <c r="A118" s="876"/>
      <c r="B118" s="4"/>
      <c r="C118" s="23"/>
      <c r="D118" s="23"/>
      <c r="E118" s="23"/>
      <c r="F118" s="23"/>
      <c r="G118" s="23"/>
      <c r="H118" s="23"/>
      <c r="I118" s="23"/>
      <c r="J118" s="23"/>
      <c r="K118" s="23"/>
      <c r="L118" s="23"/>
      <c r="M118" s="23"/>
      <c r="N118" s="4"/>
      <c r="O118" s="23"/>
      <c r="P118" s="23"/>
      <c r="Q118" s="4"/>
      <c r="R118" s="4"/>
      <c r="S118" s="4"/>
    </row>
    <row r="119" spans="1:19" x14ac:dyDescent="0.25">
      <c r="A119" s="876"/>
      <c r="B119" s="4"/>
      <c r="C119" s="23"/>
      <c r="D119" s="23"/>
      <c r="E119" s="23"/>
      <c r="F119" s="23"/>
      <c r="G119" s="23"/>
      <c r="H119" s="23"/>
      <c r="I119" s="23"/>
      <c r="J119" s="23"/>
      <c r="K119" s="23"/>
      <c r="L119" s="23"/>
      <c r="M119" s="23"/>
      <c r="N119" s="4"/>
      <c r="O119" s="23"/>
      <c r="P119" s="23"/>
      <c r="Q119" s="4"/>
      <c r="R119" s="4"/>
      <c r="S119" s="4"/>
    </row>
    <row r="120" spans="1:19" x14ac:dyDescent="0.25">
      <c r="A120" s="876"/>
      <c r="B120" s="4"/>
      <c r="C120" s="23"/>
      <c r="D120" s="23"/>
      <c r="E120" s="23"/>
      <c r="F120" s="23"/>
      <c r="G120" s="23"/>
      <c r="H120" s="23"/>
      <c r="I120" s="23"/>
      <c r="J120" s="23"/>
      <c r="K120" s="23"/>
      <c r="L120" s="23"/>
      <c r="M120" s="23"/>
      <c r="N120" s="4"/>
      <c r="O120" s="23"/>
      <c r="P120" s="23"/>
      <c r="Q120" s="4"/>
      <c r="R120" s="4"/>
      <c r="S120" s="4"/>
    </row>
    <row r="121" spans="1:19" x14ac:dyDescent="0.25">
      <c r="A121" s="876"/>
      <c r="B121" s="4"/>
      <c r="C121" s="23"/>
      <c r="D121" s="23"/>
      <c r="E121" s="23"/>
      <c r="F121" s="23"/>
      <c r="G121" s="23"/>
      <c r="H121" s="23"/>
      <c r="I121" s="23"/>
      <c r="J121" s="23"/>
      <c r="K121" s="23"/>
      <c r="L121" s="23"/>
      <c r="M121" s="23"/>
      <c r="N121" s="4"/>
      <c r="O121" s="23"/>
      <c r="P121" s="23"/>
      <c r="Q121" s="4"/>
      <c r="R121" s="4"/>
      <c r="S121" s="4"/>
    </row>
    <row r="122" spans="1:19" x14ac:dyDescent="0.25">
      <c r="A122" s="876"/>
      <c r="B122" s="4"/>
      <c r="C122" s="23"/>
      <c r="D122" s="23"/>
      <c r="E122" s="23"/>
      <c r="F122" s="23"/>
      <c r="G122" s="23"/>
      <c r="H122" s="23"/>
      <c r="I122" s="23"/>
      <c r="J122" s="23"/>
      <c r="K122" s="23"/>
      <c r="L122" s="23"/>
      <c r="M122" s="23"/>
      <c r="N122" s="4"/>
      <c r="O122" s="23"/>
      <c r="P122" s="23"/>
      <c r="Q122" s="4"/>
      <c r="R122" s="4"/>
      <c r="S122" s="4"/>
    </row>
    <row r="123" spans="1:19" x14ac:dyDescent="0.25">
      <c r="A123" s="876"/>
      <c r="B123" s="4"/>
      <c r="C123" s="23"/>
      <c r="D123" s="23"/>
      <c r="E123" s="23"/>
      <c r="F123" s="23"/>
      <c r="G123" s="23"/>
      <c r="H123" s="23"/>
      <c r="I123" s="23"/>
      <c r="J123" s="23"/>
      <c r="K123" s="23"/>
      <c r="L123" s="23"/>
      <c r="M123" s="23"/>
      <c r="N123" s="4"/>
      <c r="O123" s="23"/>
      <c r="P123" s="23"/>
      <c r="Q123" s="4"/>
      <c r="R123" s="4"/>
      <c r="S123" s="4"/>
    </row>
    <row r="124" spans="1:19" x14ac:dyDescent="0.25">
      <c r="A124" s="876"/>
      <c r="B124" s="4"/>
      <c r="C124" s="23"/>
      <c r="D124" s="23"/>
      <c r="E124" s="23"/>
      <c r="F124" s="23"/>
      <c r="G124" s="23"/>
      <c r="H124" s="23"/>
      <c r="I124" s="23"/>
      <c r="J124" s="23"/>
      <c r="K124" s="23"/>
      <c r="L124" s="23"/>
      <c r="M124" s="23"/>
      <c r="N124" s="4"/>
      <c r="O124" s="23"/>
      <c r="P124" s="23"/>
      <c r="Q124" s="4"/>
      <c r="R124" s="4"/>
      <c r="S124" s="4"/>
    </row>
    <row r="125" spans="1:19" x14ac:dyDescent="0.25">
      <c r="A125" s="876"/>
      <c r="B125" s="4"/>
      <c r="C125" s="23"/>
      <c r="D125" s="23"/>
      <c r="E125" s="23"/>
      <c r="F125" s="23"/>
      <c r="G125" s="23"/>
      <c r="H125" s="23"/>
      <c r="I125" s="23"/>
      <c r="J125" s="23"/>
      <c r="K125" s="23"/>
      <c r="L125" s="23"/>
      <c r="M125" s="23"/>
      <c r="N125" s="4"/>
      <c r="O125" s="23"/>
      <c r="P125" s="23"/>
      <c r="Q125" s="4"/>
      <c r="R125" s="4"/>
      <c r="S125" s="4"/>
    </row>
    <row r="126" spans="1:19" x14ac:dyDescent="0.25">
      <c r="A126" s="876"/>
      <c r="B126" s="4"/>
      <c r="C126" s="23"/>
      <c r="D126" s="23"/>
      <c r="E126" s="23"/>
      <c r="F126" s="23"/>
      <c r="G126" s="23"/>
      <c r="H126" s="23"/>
      <c r="I126" s="23"/>
      <c r="J126" s="23"/>
      <c r="K126" s="23"/>
      <c r="L126" s="23"/>
      <c r="M126" s="23"/>
      <c r="N126" s="4"/>
      <c r="O126" s="23"/>
      <c r="P126" s="23"/>
      <c r="Q126" s="4"/>
      <c r="R126" s="4"/>
      <c r="S126" s="4"/>
    </row>
    <row r="127" spans="1:19" x14ac:dyDescent="0.25">
      <c r="A127" s="876"/>
      <c r="B127" s="4"/>
      <c r="C127" s="23"/>
      <c r="D127" s="23"/>
      <c r="E127" s="23"/>
      <c r="F127" s="23"/>
      <c r="G127" s="23"/>
      <c r="H127" s="23"/>
      <c r="I127" s="23"/>
      <c r="J127" s="23"/>
      <c r="K127" s="23"/>
      <c r="L127" s="23"/>
      <c r="M127" s="23"/>
      <c r="N127" s="4"/>
      <c r="O127" s="23"/>
      <c r="P127" s="23"/>
      <c r="Q127" s="4"/>
      <c r="R127" s="4"/>
      <c r="S127" s="4"/>
    </row>
    <row r="128" spans="1:19" x14ac:dyDescent="0.25">
      <c r="A128" s="876"/>
      <c r="B128" s="4"/>
      <c r="C128" s="23"/>
      <c r="D128" s="23"/>
      <c r="E128" s="23"/>
      <c r="F128" s="23"/>
      <c r="G128" s="23"/>
      <c r="H128" s="23"/>
      <c r="I128" s="23"/>
      <c r="J128" s="23"/>
      <c r="K128" s="23"/>
      <c r="L128" s="23"/>
      <c r="M128" s="23"/>
      <c r="N128" s="4"/>
      <c r="O128" s="23"/>
      <c r="P128" s="23"/>
      <c r="Q128" s="4"/>
      <c r="R128" s="4"/>
      <c r="S128" s="4"/>
    </row>
    <row r="129" spans="1:19" x14ac:dyDescent="0.25">
      <c r="A129" s="876"/>
      <c r="B129" s="4"/>
      <c r="C129" s="23"/>
      <c r="D129" s="23"/>
      <c r="E129" s="23"/>
      <c r="F129" s="23"/>
      <c r="G129" s="23"/>
      <c r="H129" s="23"/>
      <c r="I129" s="23"/>
      <c r="J129" s="23"/>
      <c r="K129" s="23"/>
      <c r="L129" s="23"/>
      <c r="M129" s="23"/>
      <c r="N129" s="4"/>
      <c r="O129" s="23"/>
      <c r="P129" s="23"/>
      <c r="Q129" s="4"/>
      <c r="R129" s="4"/>
      <c r="S129" s="4"/>
    </row>
    <row r="130" spans="1:19" x14ac:dyDescent="0.25">
      <c r="A130" s="876"/>
      <c r="B130" s="4"/>
      <c r="C130" s="23"/>
      <c r="D130" s="23"/>
      <c r="E130" s="23"/>
      <c r="F130" s="23"/>
      <c r="G130" s="23"/>
      <c r="H130" s="23"/>
      <c r="I130" s="23"/>
      <c r="J130" s="23"/>
      <c r="K130" s="23"/>
      <c r="L130" s="23"/>
      <c r="M130" s="23"/>
      <c r="N130" s="4"/>
      <c r="O130" s="23"/>
      <c r="P130" s="23"/>
      <c r="Q130" s="4"/>
      <c r="R130" s="4"/>
      <c r="S130" s="4"/>
    </row>
    <row r="131" spans="1:19" x14ac:dyDescent="0.25">
      <c r="A131" s="876"/>
      <c r="B131" s="4"/>
      <c r="C131" s="23"/>
      <c r="D131" s="23"/>
      <c r="E131" s="23"/>
      <c r="F131" s="23"/>
      <c r="G131" s="23"/>
      <c r="H131" s="23"/>
      <c r="I131" s="23"/>
      <c r="J131" s="23"/>
      <c r="K131" s="23"/>
      <c r="L131" s="23"/>
      <c r="M131" s="23"/>
      <c r="N131" s="4"/>
      <c r="O131" s="23"/>
      <c r="P131" s="23"/>
      <c r="Q131" s="4"/>
      <c r="R131" s="4"/>
      <c r="S131" s="4"/>
    </row>
    <row r="132" spans="1:19" x14ac:dyDescent="0.25">
      <c r="A132" s="876"/>
      <c r="B132" s="4"/>
      <c r="C132" s="23"/>
      <c r="D132" s="23"/>
      <c r="E132" s="23"/>
      <c r="F132" s="23"/>
      <c r="G132" s="23"/>
      <c r="H132" s="23"/>
      <c r="I132" s="23"/>
      <c r="J132" s="23"/>
      <c r="K132" s="23"/>
      <c r="L132" s="23"/>
      <c r="M132" s="23"/>
      <c r="N132" s="4"/>
      <c r="O132" s="23"/>
      <c r="P132" s="23"/>
      <c r="Q132" s="4"/>
      <c r="R132" s="4"/>
      <c r="S132" s="4"/>
    </row>
    <row r="133" spans="1:19" x14ac:dyDescent="0.25">
      <c r="A133" s="876"/>
      <c r="B133" s="4"/>
      <c r="C133" s="23"/>
      <c r="D133" s="23"/>
      <c r="E133" s="23"/>
      <c r="F133" s="23"/>
      <c r="G133" s="23"/>
      <c r="H133" s="23"/>
      <c r="I133" s="23"/>
      <c r="J133" s="23"/>
      <c r="K133" s="23"/>
      <c r="L133" s="23"/>
      <c r="M133" s="23"/>
      <c r="N133" s="4"/>
      <c r="O133" s="23"/>
      <c r="P133" s="23"/>
      <c r="Q133" s="4"/>
      <c r="R133" s="4"/>
      <c r="S133" s="4"/>
    </row>
    <row r="134" spans="1:19" x14ac:dyDescent="0.25">
      <c r="A134" s="876"/>
      <c r="B134" s="4"/>
      <c r="C134" s="23"/>
      <c r="D134" s="23"/>
      <c r="E134" s="23"/>
      <c r="F134" s="23"/>
      <c r="G134" s="23"/>
      <c r="H134" s="23"/>
      <c r="I134" s="23"/>
      <c r="J134" s="23"/>
      <c r="K134" s="23"/>
      <c r="L134" s="23"/>
      <c r="M134" s="23"/>
      <c r="N134" s="4"/>
      <c r="O134" s="23"/>
      <c r="P134" s="23"/>
      <c r="Q134" s="4"/>
      <c r="R134" s="4"/>
      <c r="S134" s="4"/>
    </row>
    <row r="135" spans="1:19" x14ac:dyDescent="0.25">
      <c r="A135" s="876"/>
      <c r="B135" s="4"/>
      <c r="C135" s="23"/>
      <c r="D135" s="23"/>
      <c r="E135" s="23"/>
      <c r="F135" s="23"/>
      <c r="G135" s="23"/>
      <c r="H135" s="23"/>
      <c r="I135" s="23"/>
      <c r="J135" s="23"/>
      <c r="K135" s="23"/>
      <c r="L135" s="23"/>
      <c r="M135" s="23"/>
      <c r="N135" s="4"/>
      <c r="O135" s="23"/>
      <c r="P135" s="23"/>
      <c r="Q135" s="4"/>
      <c r="R135" s="4"/>
      <c r="S135" s="4"/>
    </row>
    <row r="136" spans="1:19" x14ac:dyDescent="0.25">
      <c r="A136" s="876"/>
      <c r="B136" s="4"/>
      <c r="C136" s="23"/>
      <c r="D136" s="23"/>
      <c r="E136" s="23"/>
      <c r="F136" s="23"/>
      <c r="G136" s="23"/>
      <c r="H136" s="23"/>
      <c r="I136" s="23"/>
      <c r="J136" s="23"/>
      <c r="K136" s="23"/>
      <c r="L136" s="23"/>
      <c r="M136" s="23"/>
      <c r="N136" s="4"/>
      <c r="O136" s="23"/>
      <c r="P136" s="23"/>
      <c r="Q136" s="4"/>
      <c r="R136" s="4"/>
      <c r="S136" s="4"/>
    </row>
    <row r="137" spans="1:19" x14ac:dyDescent="0.25">
      <c r="C137" s="114"/>
    </row>
    <row r="138" spans="1:19" x14ac:dyDescent="0.25">
      <c r="C138" s="114"/>
    </row>
    <row r="139" spans="1:19" x14ac:dyDescent="0.25">
      <c r="C139" s="114"/>
    </row>
    <row r="140" spans="1:19" x14ac:dyDescent="0.25">
      <c r="C140" s="114"/>
    </row>
    <row r="141" spans="1:19" x14ac:dyDescent="0.25">
      <c r="C141" s="114"/>
    </row>
    <row r="142" spans="1:19" x14ac:dyDescent="0.25">
      <c r="C142" s="114"/>
    </row>
    <row r="143" spans="1:19" x14ac:dyDescent="0.25">
      <c r="C143" s="114"/>
    </row>
    <row r="144" spans="1:19" x14ac:dyDescent="0.25">
      <c r="C144" s="114"/>
    </row>
    <row r="145" spans="3:3" x14ac:dyDescent="0.25">
      <c r="C145" s="114"/>
    </row>
    <row r="146" spans="3:3" x14ac:dyDescent="0.25">
      <c r="C146" s="114"/>
    </row>
    <row r="147" spans="3:3" x14ac:dyDescent="0.25">
      <c r="C147" s="114"/>
    </row>
    <row r="148" spans="3:3" x14ac:dyDescent="0.25">
      <c r="C148" s="114"/>
    </row>
    <row r="149" spans="3:3" x14ac:dyDescent="0.25">
      <c r="C149" s="114"/>
    </row>
    <row r="150" spans="3:3" x14ac:dyDescent="0.25">
      <c r="C150" s="114"/>
    </row>
    <row r="151" spans="3:3" x14ac:dyDescent="0.25">
      <c r="C151" s="114"/>
    </row>
    <row r="152" spans="3:3" x14ac:dyDescent="0.25">
      <c r="C152" s="114"/>
    </row>
    <row r="153" spans="3:3" x14ac:dyDescent="0.25">
      <c r="C153" s="114"/>
    </row>
    <row r="154" spans="3:3" x14ac:dyDescent="0.25">
      <c r="C154" s="114"/>
    </row>
    <row r="155" spans="3:3" x14ac:dyDescent="0.25">
      <c r="C155" s="114"/>
    </row>
    <row r="156" spans="3:3" x14ac:dyDescent="0.25">
      <c r="C156" s="114"/>
    </row>
    <row r="157" spans="3:3" x14ac:dyDescent="0.25">
      <c r="C157" s="114"/>
    </row>
    <row r="158" spans="3:3" x14ac:dyDescent="0.25">
      <c r="C158" s="114"/>
    </row>
    <row r="159" spans="3:3" x14ac:dyDescent="0.25">
      <c r="C159" s="114"/>
    </row>
    <row r="160" spans="3:3" x14ac:dyDescent="0.25">
      <c r="C160" s="114"/>
    </row>
    <row r="161" spans="3:3" x14ac:dyDescent="0.25">
      <c r="C161" s="114"/>
    </row>
    <row r="162" spans="3:3" x14ac:dyDescent="0.25">
      <c r="C162" s="114"/>
    </row>
    <row r="163" spans="3:3" x14ac:dyDescent="0.25">
      <c r="C163" s="114"/>
    </row>
    <row r="164" spans="3:3" x14ac:dyDescent="0.25">
      <c r="C164" s="114"/>
    </row>
    <row r="165" spans="3:3" x14ac:dyDescent="0.25">
      <c r="C165" s="114"/>
    </row>
    <row r="166" spans="3:3" x14ac:dyDescent="0.25">
      <c r="C166" s="114"/>
    </row>
    <row r="167" spans="3:3" x14ac:dyDescent="0.25">
      <c r="C167" s="114"/>
    </row>
    <row r="168" spans="3:3" x14ac:dyDescent="0.25">
      <c r="C168" s="114"/>
    </row>
    <row r="169" spans="3:3" x14ac:dyDescent="0.25">
      <c r="C169" s="114"/>
    </row>
    <row r="170" spans="3:3" x14ac:dyDescent="0.25">
      <c r="C170" s="114"/>
    </row>
    <row r="171" spans="3:3" x14ac:dyDescent="0.25">
      <c r="C171" s="114"/>
    </row>
    <row r="172" spans="3:3" x14ac:dyDescent="0.25">
      <c r="C172" s="114"/>
    </row>
    <row r="173" spans="3:3" x14ac:dyDescent="0.25">
      <c r="C173" s="114"/>
    </row>
    <row r="174" spans="3:3" x14ac:dyDescent="0.25">
      <c r="C174" s="114"/>
    </row>
    <row r="175" spans="3:3" x14ac:dyDescent="0.25">
      <c r="C175" s="114"/>
    </row>
    <row r="176" spans="3:3" x14ac:dyDescent="0.25">
      <c r="C176" s="114"/>
    </row>
    <row r="177" spans="3:3" x14ac:dyDescent="0.25">
      <c r="C177" s="114"/>
    </row>
    <row r="178" spans="3:3" x14ac:dyDescent="0.25">
      <c r="C178" s="114"/>
    </row>
    <row r="179" spans="3:3" x14ac:dyDescent="0.25">
      <c r="C179" s="114"/>
    </row>
    <row r="180" spans="3:3" x14ac:dyDescent="0.25">
      <c r="C180" s="114"/>
    </row>
    <row r="181" spans="3:3" x14ac:dyDescent="0.25">
      <c r="C181" s="114"/>
    </row>
    <row r="182" spans="3:3" x14ac:dyDescent="0.25">
      <c r="C182" s="114"/>
    </row>
    <row r="183" spans="3:3" x14ac:dyDescent="0.25">
      <c r="C183" s="114"/>
    </row>
    <row r="184" spans="3:3" x14ac:dyDescent="0.25">
      <c r="C184" s="114"/>
    </row>
    <row r="185" spans="3:3" x14ac:dyDescent="0.25">
      <c r="C185" s="114"/>
    </row>
    <row r="186" spans="3:3" x14ac:dyDescent="0.25">
      <c r="C186" s="114"/>
    </row>
  </sheetData>
  <phoneticPr fontId="0" type="noConversion"/>
  <hyperlinks>
    <hyperlink ref="A1" location="'Working Budget with funding det'!A1" display="Main " xr:uid="{00000000-0004-0000-3000-000000000000}"/>
    <hyperlink ref="B1" location="'Table of Contents'!A1" display="TOC" xr:uid="{00000000-0004-0000-3000-000001000000}"/>
  </hyperlinks>
  <pageMargins left="0.75" right="0.75" top="1" bottom="1" header="0.5" footer="0.5"/>
  <pageSetup orientation="landscape" r:id="rId1"/>
  <headerFooter alignWithMargins="0">
    <oddFooter>&amp;L&amp;D     &amp;T&amp;C&amp;F&amp;R&amp;A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92D050"/>
  </sheetPr>
  <dimension ref="A1:AW158"/>
  <sheetViews>
    <sheetView zoomScaleNormal="100" workbookViewId="0">
      <pane xSplit="10" ySplit="7" topLeftCell="K8" activePane="bottomRight" state="frozen"/>
      <selection activeCell="P7" sqref="P7"/>
      <selection pane="topRight" activeCell="P7" sqref="P7"/>
      <selection pane="bottomLeft" activeCell="P7" sqref="P7"/>
      <selection pane="bottomRight" activeCell="K68" sqref="K68:O86"/>
    </sheetView>
  </sheetViews>
  <sheetFormatPr defaultRowHeight="13.2" x14ac:dyDescent="0.25"/>
  <cols>
    <col min="1" max="1" width="8.77734375" style="885"/>
    <col min="2" max="2" width="36.6640625" customWidth="1"/>
    <col min="3" max="3" width="14.44140625" style="1" hidden="1" customWidth="1"/>
    <col min="4" max="10" width="14.44140625" style="114" hidden="1" customWidth="1"/>
    <col min="11" max="13" width="14.44140625" style="114" customWidth="1"/>
    <col min="14" max="14" width="14.44140625" customWidth="1"/>
    <col min="15" max="17" width="14.44140625" style="1" customWidth="1"/>
    <col min="18" max="19" width="13.109375" hidden="1" customWidth="1"/>
    <col min="20" max="22" width="13.109375" customWidth="1"/>
    <col min="23" max="25" width="10.44140625" bestFit="1" customWidth="1"/>
    <col min="26" max="26" width="11.6640625" customWidth="1"/>
    <col min="27" max="42" width="10.44140625" bestFit="1" customWidth="1"/>
    <col min="48" max="48" width="14.109375" style="738" bestFit="1" customWidth="1"/>
  </cols>
  <sheetData>
    <row r="1" spans="1:48" x14ac:dyDescent="0.25">
      <c r="A1" s="874" t="s">
        <v>1021</v>
      </c>
      <c r="B1" s="371" t="s">
        <v>1348</v>
      </c>
      <c r="P1"/>
      <c r="Q1"/>
    </row>
    <row r="2" spans="1:48" ht="13.8" x14ac:dyDescent="0.25">
      <c r="A2" s="875" t="s">
        <v>265</v>
      </c>
      <c r="B2" s="45"/>
      <c r="E2" s="141"/>
      <c r="I2" s="141" t="s">
        <v>257</v>
      </c>
      <c r="J2" s="141"/>
      <c r="K2" s="141"/>
      <c r="L2" s="141"/>
      <c r="M2" s="141"/>
      <c r="N2" s="61" t="s">
        <v>372</v>
      </c>
      <c r="P2" s="46" t="s">
        <v>504</v>
      </c>
      <c r="Q2" s="46"/>
    </row>
    <row r="3" spans="1:48" ht="13.8" thickBot="1" x14ac:dyDescent="0.3">
      <c r="A3" s="876"/>
      <c r="B3" s="4"/>
      <c r="C3" s="23"/>
      <c r="D3" s="23"/>
      <c r="E3" s="23"/>
      <c r="F3" s="23"/>
      <c r="G3" s="23"/>
      <c r="H3" s="23"/>
      <c r="I3" s="23"/>
      <c r="J3" s="23"/>
      <c r="K3" s="23"/>
      <c r="L3" s="23"/>
      <c r="M3" s="23"/>
      <c r="N3" s="4"/>
      <c r="O3" s="23"/>
      <c r="P3" s="4"/>
      <c r="Q3" s="4"/>
    </row>
    <row r="4" spans="1:48" ht="13.8" thickTop="1" x14ac:dyDescent="0.25">
      <c r="A4" s="877"/>
      <c r="B4" s="802" t="s">
        <v>812</v>
      </c>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t="s">
        <v>910</v>
      </c>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row>
    <row r="5" spans="1:48" x14ac:dyDescent="0.25">
      <c r="A5" s="878"/>
      <c r="B5" s="209"/>
      <c r="C5" s="127"/>
      <c r="D5" s="87"/>
      <c r="E5" s="113"/>
      <c r="F5" s="87"/>
      <c r="G5" s="87"/>
      <c r="H5" s="113"/>
      <c r="I5" s="290"/>
      <c r="J5" s="290"/>
      <c r="K5" s="290"/>
      <c r="L5" s="290"/>
      <c r="M5" s="290"/>
      <c r="N5" s="113" t="s">
        <v>515</v>
      </c>
      <c r="O5" s="88" t="s">
        <v>7</v>
      </c>
      <c r="P5" s="203" t="s">
        <v>782</v>
      </c>
      <c r="Q5" s="203"/>
      <c r="R5" s="47" t="s">
        <v>908</v>
      </c>
      <c r="S5" s="47" t="s">
        <v>909</v>
      </c>
      <c r="T5" s="47" t="s">
        <v>910</v>
      </c>
      <c r="U5" s="47" t="s">
        <v>911</v>
      </c>
      <c r="V5" s="47" t="s">
        <v>912</v>
      </c>
      <c r="W5" s="47" t="s">
        <v>913</v>
      </c>
      <c r="X5" s="47" t="s">
        <v>914</v>
      </c>
      <c r="Y5" s="47" t="s">
        <v>915</v>
      </c>
      <c r="Z5" s="47" t="s">
        <v>916</v>
      </c>
      <c r="AA5" s="47" t="s">
        <v>917</v>
      </c>
      <c r="AB5" s="47" t="s">
        <v>918</v>
      </c>
      <c r="AC5" s="47" t="s">
        <v>919</v>
      </c>
      <c r="AD5" s="47" t="s">
        <v>920</v>
      </c>
      <c r="AE5" s="47" t="s">
        <v>921</v>
      </c>
      <c r="AF5" s="47" t="s">
        <v>922</v>
      </c>
      <c r="AG5" s="47" t="s">
        <v>923</v>
      </c>
      <c r="AH5" s="47" t="s">
        <v>924</v>
      </c>
      <c r="AI5" s="47" t="s">
        <v>925</v>
      </c>
      <c r="AJ5" s="47" t="s">
        <v>926</v>
      </c>
      <c r="AK5" s="47" t="s">
        <v>927</v>
      </c>
      <c r="AL5" s="47" t="s">
        <v>928</v>
      </c>
      <c r="AM5" s="47" t="s">
        <v>929</v>
      </c>
      <c r="AN5" s="47" t="s">
        <v>930</v>
      </c>
      <c r="AO5" s="47" t="s">
        <v>931</v>
      </c>
      <c r="AP5" s="47" t="s">
        <v>932</v>
      </c>
      <c r="AQ5" s="47" t="s">
        <v>933</v>
      </c>
      <c r="AR5" s="47" t="s">
        <v>934</v>
      </c>
      <c r="AS5" s="47" t="s">
        <v>935</v>
      </c>
      <c r="AT5" s="47" t="s">
        <v>936</v>
      </c>
      <c r="AU5" s="47" t="s">
        <v>937</v>
      </c>
    </row>
    <row r="6" spans="1:48" x14ac:dyDescent="0.25">
      <c r="A6" s="878"/>
      <c r="B6" s="209"/>
      <c r="C6" s="127"/>
      <c r="D6" s="127"/>
      <c r="E6" s="127"/>
      <c r="F6" s="127"/>
      <c r="G6" s="127"/>
      <c r="H6" s="127"/>
      <c r="I6" s="88"/>
      <c r="J6" s="88"/>
      <c r="K6" s="88"/>
      <c r="L6" s="88"/>
      <c r="M6" s="88"/>
      <c r="N6" s="127"/>
      <c r="O6" s="88" t="s">
        <v>8</v>
      </c>
      <c r="P6" s="47" t="s">
        <v>543</v>
      </c>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row>
    <row r="7" spans="1:48"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44561</v>
      </c>
      <c r="O7" s="9" t="s">
        <v>9</v>
      </c>
      <c r="P7" s="9" t="s">
        <v>546</v>
      </c>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row>
    <row r="8" spans="1:48" ht="13.8" thickTop="1" x14ac:dyDescent="0.25">
      <c r="A8" s="908"/>
      <c r="B8" s="210"/>
      <c r="C8" s="132"/>
      <c r="D8" s="18"/>
      <c r="E8" s="18"/>
      <c r="F8" s="18"/>
      <c r="G8" s="18"/>
      <c r="H8" s="18"/>
      <c r="I8" s="19"/>
      <c r="J8" s="19"/>
      <c r="K8" s="19"/>
      <c r="L8" s="19"/>
      <c r="M8" s="19"/>
      <c r="N8" s="18"/>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row>
    <row r="9" spans="1:48" x14ac:dyDescent="0.25">
      <c r="A9" s="881">
        <v>710</v>
      </c>
      <c r="B9" s="63" t="s">
        <v>228</v>
      </c>
      <c r="C9" s="130"/>
      <c r="D9" s="13"/>
      <c r="E9" s="13"/>
      <c r="F9" s="13"/>
      <c r="G9" s="13"/>
      <c r="H9" s="13"/>
      <c r="I9" s="14"/>
      <c r="J9" s="14"/>
      <c r="K9" s="14"/>
      <c r="L9" s="14"/>
      <c r="M9" s="14"/>
      <c r="N9" s="13"/>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row>
    <row r="10" spans="1:48" hidden="1" x14ac:dyDescent="0.25">
      <c r="A10" s="881">
        <v>5910</v>
      </c>
      <c r="B10" s="63" t="s">
        <v>227</v>
      </c>
      <c r="C10" s="130">
        <v>40000</v>
      </c>
      <c r="D10" s="37">
        <v>35000</v>
      </c>
      <c r="E10" s="37">
        <v>35000</v>
      </c>
      <c r="F10" s="37">
        <v>35000</v>
      </c>
      <c r="G10" s="37">
        <v>35000</v>
      </c>
      <c r="H10" s="37">
        <v>35000</v>
      </c>
      <c r="I10" s="233">
        <v>35000</v>
      </c>
      <c r="J10" s="233">
        <v>35000</v>
      </c>
      <c r="K10" s="125">
        <v>0</v>
      </c>
      <c r="L10" s="125"/>
      <c r="M10" s="125"/>
      <c r="N10" s="37"/>
      <c r="O10" s="125">
        <f>+S10</f>
        <v>0</v>
      </c>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row>
    <row r="11" spans="1:48" x14ac:dyDescent="0.25">
      <c r="A11" s="881">
        <v>5916</v>
      </c>
      <c r="B11" s="63" t="s">
        <v>394</v>
      </c>
      <c r="C11" s="130">
        <v>55000</v>
      </c>
      <c r="D11" s="13">
        <v>55000</v>
      </c>
      <c r="E11" s="13">
        <v>55000</v>
      </c>
      <c r="F11" s="13">
        <v>55000</v>
      </c>
      <c r="G11" s="13">
        <v>55000</v>
      </c>
      <c r="H11" s="13">
        <v>25000</v>
      </c>
      <c r="I11" s="144">
        <v>20000</v>
      </c>
      <c r="J11" s="144">
        <v>20000</v>
      </c>
      <c r="K11" s="122">
        <v>15000</v>
      </c>
      <c r="L11" s="144">
        <v>15000</v>
      </c>
      <c r="M11" s="122">
        <v>15000</v>
      </c>
      <c r="N11" s="13">
        <v>15000</v>
      </c>
      <c r="O11" s="125">
        <f>+T11</f>
        <v>15000</v>
      </c>
      <c r="P11" s="38"/>
      <c r="Q11" s="38"/>
      <c r="R11" s="14">
        <f t="shared" ref="R11:X11" si="0">5000+10000</f>
        <v>15000</v>
      </c>
      <c r="S11" s="14">
        <f t="shared" si="0"/>
        <v>15000</v>
      </c>
      <c r="T11" s="14">
        <f t="shared" si="0"/>
        <v>15000</v>
      </c>
      <c r="U11" s="14">
        <f t="shared" si="0"/>
        <v>15000</v>
      </c>
      <c r="V11" s="14">
        <f t="shared" si="0"/>
        <v>15000</v>
      </c>
      <c r="W11" s="14">
        <f t="shared" si="0"/>
        <v>15000</v>
      </c>
      <c r="X11" s="14">
        <f t="shared" si="0"/>
        <v>15000</v>
      </c>
      <c r="Y11" s="14"/>
      <c r="Z11" s="14"/>
      <c r="AA11" s="14"/>
      <c r="AB11" s="14"/>
      <c r="AC11" s="14"/>
      <c r="AD11" s="14"/>
      <c r="AE11" s="14"/>
      <c r="AF11" s="14"/>
      <c r="AG11" s="14"/>
      <c r="AH11" s="14"/>
      <c r="AI11" s="14"/>
      <c r="AJ11" s="14"/>
      <c r="AK11" s="14"/>
      <c r="AL11" s="14"/>
      <c r="AM11" s="14"/>
      <c r="AN11" s="14"/>
      <c r="AO11" s="14"/>
      <c r="AP11" s="14"/>
      <c r="AQ11" s="14"/>
      <c r="AR11" s="14"/>
      <c r="AS11" s="14"/>
      <c r="AT11" s="14"/>
      <c r="AU11" s="14"/>
    </row>
    <row r="12" spans="1:48" s="411" customFormat="1" x14ac:dyDescent="0.25">
      <c r="A12" s="919">
        <v>5920</v>
      </c>
      <c r="B12" s="739" t="s">
        <v>941</v>
      </c>
      <c r="C12" s="807">
        <v>205000</v>
      </c>
      <c r="D12" s="805">
        <v>210000</v>
      </c>
      <c r="E12" s="805">
        <v>220000</v>
      </c>
      <c r="F12" s="805">
        <v>230000</v>
      </c>
      <c r="G12" s="805">
        <v>240000</v>
      </c>
      <c r="H12" s="805">
        <v>255000</v>
      </c>
      <c r="I12" s="805">
        <v>265000</v>
      </c>
      <c r="J12" s="805">
        <v>275000</v>
      </c>
      <c r="K12" s="735">
        <v>241448</v>
      </c>
      <c r="L12" s="805">
        <v>241447.5</v>
      </c>
      <c r="M12" s="735">
        <v>256230</v>
      </c>
      <c r="N12" s="805"/>
      <c r="O12" s="412">
        <f t="shared" ref="O12:O28" si="1">+T12</f>
        <v>266085</v>
      </c>
      <c r="P12" s="412"/>
      <c r="Q12" s="412"/>
      <c r="R12" s="735">
        <v>241448</v>
      </c>
      <c r="S12" s="735">
        <v>256230</v>
      </c>
      <c r="T12" s="735">
        <v>266085</v>
      </c>
      <c r="U12" s="735">
        <v>280868</v>
      </c>
      <c r="V12" s="735">
        <v>295650</v>
      </c>
      <c r="W12" s="735">
        <v>310433</v>
      </c>
      <c r="X12" s="735">
        <v>325215</v>
      </c>
      <c r="Y12" s="735">
        <v>344925</v>
      </c>
      <c r="Z12" s="735"/>
      <c r="AA12" s="735"/>
      <c r="AB12" s="735"/>
      <c r="AC12" s="735"/>
      <c r="AD12" s="735"/>
      <c r="AE12" s="735"/>
      <c r="AF12" s="735"/>
      <c r="AG12" s="735"/>
      <c r="AH12" s="735"/>
      <c r="AI12" s="735"/>
      <c r="AJ12" s="735"/>
      <c r="AK12" s="735"/>
      <c r="AL12" s="735"/>
      <c r="AM12" s="735"/>
      <c r="AN12" s="735"/>
      <c r="AO12" s="735"/>
      <c r="AP12" s="735"/>
      <c r="AQ12" s="735"/>
      <c r="AR12" s="735"/>
      <c r="AS12" s="735"/>
      <c r="AT12" s="735"/>
      <c r="AU12" s="735"/>
      <c r="AV12" s="1051"/>
    </row>
    <row r="13" spans="1:48" s="411" customFormat="1" x14ac:dyDescent="0.25">
      <c r="A13" s="919">
        <v>5930</v>
      </c>
      <c r="B13" s="803" t="s">
        <v>36</v>
      </c>
      <c r="C13" s="804">
        <v>17414.8</v>
      </c>
      <c r="D13" s="805">
        <v>17766.400000000001</v>
      </c>
      <c r="E13" s="805">
        <v>18125.2</v>
      </c>
      <c r="F13" s="805">
        <v>18491.599999999999</v>
      </c>
      <c r="G13" s="805">
        <v>18865.2</v>
      </c>
      <c r="H13" s="805">
        <v>19246</v>
      </c>
      <c r="I13" s="805">
        <v>19634.8</v>
      </c>
      <c r="J13" s="806">
        <v>20031.599999999999</v>
      </c>
      <c r="K13" s="577">
        <v>20760</v>
      </c>
      <c r="L13" s="806">
        <v>20436.400000000001</v>
      </c>
      <c r="M13" s="577">
        <v>20849</v>
      </c>
      <c r="N13" s="806">
        <v>20849.2</v>
      </c>
      <c r="O13" s="412">
        <f t="shared" si="1"/>
        <v>21270</v>
      </c>
      <c r="P13" s="412"/>
      <c r="Q13" s="412"/>
      <c r="R13" s="735">
        <f>+'Split Debt Service'!G10</f>
        <v>20760</v>
      </c>
      <c r="S13" s="735">
        <f>+'Split Debt Service'!H10</f>
        <v>20849</v>
      </c>
      <c r="T13" s="735">
        <f>+'Split Debt Service'!I10</f>
        <v>21270</v>
      </c>
      <c r="U13" s="735">
        <f>+'Split Debt Service'!J10</f>
        <v>21700</v>
      </c>
      <c r="V13" s="735">
        <f>+'Split Debt Service'!K10</f>
        <v>22138</v>
      </c>
      <c r="W13" s="735">
        <f>+'Split Debt Service'!L10</f>
        <v>22586</v>
      </c>
      <c r="X13" s="735">
        <f>+'Split Debt Service'!M10</f>
        <v>23042</v>
      </c>
      <c r="Y13" s="735">
        <f>+'Split Debt Service'!N10</f>
        <v>0</v>
      </c>
      <c r="Z13" s="735">
        <f>+'Split Debt Service'!O10</f>
        <v>0</v>
      </c>
      <c r="AA13" s="735">
        <f>+'Split Debt Service'!P10</f>
        <v>0</v>
      </c>
      <c r="AB13" s="735">
        <f>+'Split Debt Service'!Q10</f>
        <v>0</v>
      </c>
      <c r="AC13" s="735">
        <f>+'Split Debt Service'!R10</f>
        <v>0</v>
      </c>
      <c r="AD13" s="735">
        <f>+'Split Debt Service'!S10</f>
        <v>0</v>
      </c>
      <c r="AE13" s="735">
        <f>+'Split Debt Service'!T10</f>
        <v>0</v>
      </c>
      <c r="AF13" s="735">
        <f>+'Split Debt Service'!U10</f>
        <v>0</v>
      </c>
      <c r="AG13" s="735">
        <f>+'Split Debt Service'!V10</f>
        <v>0</v>
      </c>
      <c r="AH13" s="735">
        <f>+'Split Debt Service'!W10</f>
        <v>0</v>
      </c>
      <c r="AI13" s="735">
        <f>+'Split Debt Service'!X10</f>
        <v>0</v>
      </c>
      <c r="AJ13" s="735">
        <f>+'Split Debt Service'!Y10</f>
        <v>0</v>
      </c>
      <c r="AK13" s="735">
        <f>+'Split Debt Service'!Z10</f>
        <v>0</v>
      </c>
      <c r="AL13" s="735">
        <f>+'Split Debt Service'!AA10</f>
        <v>0</v>
      </c>
      <c r="AM13" s="735">
        <f>+'Split Debt Service'!AB10</f>
        <v>0</v>
      </c>
      <c r="AN13" s="735">
        <f>+'Split Debt Service'!AC10</f>
        <v>0</v>
      </c>
      <c r="AO13" s="735">
        <f>+'Split Debt Service'!AD10</f>
        <v>0</v>
      </c>
      <c r="AP13" s="735">
        <f>+'Split Debt Service'!AE10</f>
        <v>0</v>
      </c>
      <c r="AQ13" s="735">
        <f>+'Split Debt Service'!AF10</f>
        <v>0</v>
      </c>
      <c r="AR13" s="735">
        <f>+'Split Debt Service'!AG10</f>
        <v>0</v>
      </c>
      <c r="AS13" s="735">
        <f>+'Split Debt Service'!AH10</f>
        <v>0</v>
      </c>
      <c r="AT13" s="735">
        <f>+'Split Debt Service'!AI10</f>
        <v>0</v>
      </c>
      <c r="AU13" s="735">
        <f>+'Split Debt Service'!AJ10</f>
        <v>0</v>
      </c>
      <c r="AV13" s="1051"/>
    </row>
    <row r="14" spans="1:48" s="411" customFormat="1" x14ac:dyDescent="0.25">
      <c r="A14" s="919">
        <v>5931</v>
      </c>
      <c r="B14" s="739" t="s">
        <v>37</v>
      </c>
      <c r="C14" s="807">
        <v>19384.8</v>
      </c>
      <c r="D14" s="805">
        <v>19858.400000000001</v>
      </c>
      <c r="E14" s="805">
        <v>20343.599999999999</v>
      </c>
      <c r="F14" s="805">
        <v>20840.8</v>
      </c>
      <c r="G14" s="805">
        <v>21350</v>
      </c>
      <c r="H14" s="805">
        <v>21871.599999999999</v>
      </c>
      <c r="I14" s="805">
        <v>22406.400000000001</v>
      </c>
      <c r="J14" s="805">
        <v>22953.599999999999</v>
      </c>
      <c r="K14" s="735">
        <v>23514</v>
      </c>
      <c r="L14" s="805">
        <v>23514</v>
      </c>
      <c r="M14" s="735">
        <v>24089</v>
      </c>
      <c r="N14" s="805">
        <v>24089.200000000001</v>
      </c>
      <c r="O14" s="412">
        <f t="shared" si="1"/>
        <v>24678</v>
      </c>
      <c r="P14" s="412"/>
      <c r="Q14" s="412"/>
      <c r="R14" s="735">
        <f>+'Split Debt Service'!G11</f>
        <v>23514</v>
      </c>
      <c r="S14" s="735">
        <f>+'Split Debt Service'!H11</f>
        <v>24089</v>
      </c>
      <c r="T14" s="735">
        <f>+'Split Debt Service'!I11</f>
        <v>24678</v>
      </c>
      <c r="U14" s="735">
        <f>+'Split Debt Service'!J11</f>
        <v>25281</v>
      </c>
      <c r="V14" s="735">
        <f>+'Split Debt Service'!K11</f>
        <v>25898</v>
      </c>
      <c r="W14" s="735">
        <f>+'Split Debt Service'!L11</f>
        <v>26531</v>
      </c>
      <c r="X14" s="735">
        <f>+'Split Debt Service'!M11</f>
        <v>27180</v>
      </c>
      <c r="Y14" s="735">
        <f>+'Split Debt Service'!N11</f>
        <v>27844</v>
      </c>
      <c r="Z14" s="735">
        <f>+'Split Debt Service'!O11</f>
        <v>28524</v>
      </c>
      <c r="AA14" s="735">
        <f>+'Split Debt Service'!P11</f>
        <v>29221</v>
      </c>
      <c r="AB14" s="735">
        <f>+'Split Debt Service'!Q11</f>
        <v>29935</v>
      </c>
      <c r="AC14" s="735">
        <f>+'Split Debt Service'!R11</f>
        <v>30667</v>
      </c>
      <c r="AD14" s="735">
        <f>+'Split Debt Service'!S11</f>
        <v>31416</v>
      </c>
      <c r="AE14" s="735">
        <f>+'Split Debt Service'!T11</f>
        <v>32184</v>
      </c>
      <c r="AF14" s="735">
        <f>+'Split Debt Service'!U11</f>
        <v>32970</v>
      </c>
      <c r="AG14" s="735">
        <f>+'Split Debt Service'!V11</f>
        <v>33776</v>
      </c>
      <c r="AH14" s="735">
        <f>+'Split Debt Service'!W11</f>
        <v>34601</v>
      </c>
      <c r="AI14" s="735">
        <f>+'Split Debt Service'!X11</f>
        <v>35446</v>
      </c>
      <c r="AJ14" s="735">
        <f>+'Split Debt Service'!Y11</f>
        <v>0</v>
      </c>
      <c r="AK14" s="735">
        <f>+'Split Debt Service'!Z11</f>
        <v>0</v>
      </c>
      <c r="AL14" s="735">
        <f>+'Split Debt Service'!AA11</f>
        <v>0</v>
      </c>
      <c r="AM14" s="735">
        <f>+'Split Debt Service'!AB11</f>
        <v>0</v>
      </c>
      <c r="AN14" s="735">
        <f>+'Split Debt Service'!AC11</f>
        <v>0</v>
      </c>
      <c r="AO14" s="735">
        <f>+'Split Debt Service'!AD11</f>
        <v>0</v>
      </c>
      <c r="AP14" s="735">
        <f>+'Split Debt Service'!AE11</f>
        <v>0</v>
      </c>
      <c r="AQ14" s="735">
        <f>+'Split Debt Service'!AF11</f>
        <v>0</v>
      </c>
      <c r="AR14" s="735">
        <f>+'Split Debt Service'!AG11</f>
        <v>0</v>
      </c>
      <c r="AS14" s="735">
        <f>+'Split Debt Service'!AH11</f>
        <v>0</v>
      </c>
      <c r="AT14" s="735">
        <f>+'Split Debt Service'!AI11</f>
        <v>0</v>
      </c>
      <c r="AU14" s="735">
        <f>+'Split Debt Service'!AJ11</f>
        <v>0</v>
      </c>
      <c r="AV14" s="1051"/>
    </row>
    <row r="15" spans="1:48" s="411" customFormat="1" x14ac:dyDescent="0.25">
      <c r="A15" s="919">
        <v>5932</v>
      </c>
      <c r="B15" s="739" t="s">
        <v>38</v>
      </c>
      <c r="C15" s="807">
        <v>5429.18</v>
      </c>
      <c r="D15" s="805">
        <v>5429.18</v>
      </c>
      <c r="E15" s="805">
        <v>5666.7</v>
      </c>
      <c r="F15" s="805">
        <v>5914.62</v>
      </c>
      <c r="G15" s="805">
        <v>6173.39</v>
      </c>
      <c r="H15" s="805">
        <v>6443.47</v>
      </c>
      <c r="I15" s="805">
        <v>6725.38</v>
      </c>
      <c r="J15" s="805">
        <v>7019.61</v>
      </c>
      <c r="K15" s="735">
        <v>8000</v>
      </c>
      <c r="L15" s="805">
        <v>8000</v>
      </c>
      <c r="M15" s="735">
        <v>8000</v>
      </c>
      <c r="N15" s="805"/>
      <c r="O15" s="412">
        <f t="shared" si="1"/>
        <v>8000</v>
      </c>
      <c r="P15" s="412"/>
      <c r="Q15" s="412"/>
      <c r="R15" s="735">
        <f>+'Split Debt Service'!G12</f>
        <v>8000</v>
      </c>
      <c r="S15" s="735">
        <f>+'Split Debt Service'!H12</f>
        <v>8000</v>
      </c>
      <c r="T15" s="735">
        <f>+'Split Debt Service'!I12</f>
        <v>8000</v>
      </c>
      <c r="U15" s="735">
        <f>+'Split Debt Service'!J12</f>
        <v>10000</v>
      </c>
      <c r="V15" s="735">
        <f>+'Split Debt Service'!K12</f>
        <v>10000</v>
      </c>
      <c r="W15" s="735">
        <f>+'Split Debt Service'!L12</f>
        <v>10000</v>
      </c>
      <c r="X15" s="735">
        <f>+'Split Debt Service'!M12</f>
        <v>10000</v>
      </c>
      <c r="Y15" s="735">
        <f>+'Split Debt Service'!N12</f>
        <v>12000</v>
      </c>
      <c r="Z15" s="735">
        <f>+'Split Debt Service'!O12</f>
        <v>12000</v>
      </c>
      <c r="AA15" s="735">
        <f>+'Split Debt Service'!P12</f>
        <v>12000</v>
      </c>
      <c r="AB15" s="735">
        <f>+'Split Debt Service'!Q12</f>
        <v>14000</v>
      </c>
      <c r="AC15" s="735">
        <f>+'Split Debt Service'!R12</f>
        <v>14000</v>
      </c>
      <c r="AD15" s="735">
        <f>+'Split Debt Service'!S12</f>
        <v>14000</v>
      </c>
      <c r="AE15" s="735">
        <f>+'Split Debt Service'!T12</f>
        <v>14000</v>
      </c>
      <c r="AF15" s="735">
        <f>+'Split Debt Service'!U12</f>
        <v>14000</v>
      </c>
      <c r="AG15" s="735">
        <f>+'Split Debt Service'!V12</f>
        <v>14000</v>
      </c>
      <c r="AH15" s="735">
        <f>+'Split Debt Service'!W12</f>
        <v>14000</v>
      </c>
      <c r="AI15" s="735">
        <f>+'Split Debt Service'!X12</f>
        <v>16000</v>
      </c>
      <c r="AJ15" s="735">
        <f>+'Split Debt Service'!Y12</f>
        <v>16000</v>
      </c>
      <c r="AK15" s="735">
        <f>+'Split Debt Service'!Z12</f>
        <v>16000</v>
      </c>
      <c r="AL15" s="735">
        <f>+'Split Debt Service'!AA12</f>
        <v>16000</v>
      </c>
      <c r="AM15" s="735">
        <f>+'Split Debt Service'!AB12</f>
        <v>16000</v>
      </c>
      <c r="AN15" s="735">
        <f>+'Split Debt Service'!AC12</f>
        <v>18000</v>
      </c>
      <c r="AO15" s="735">
        <f>+'Split Debt Service'!AD12</f>
        <v>18000</v>
      </c>
      <c r="AP15" s="735">
        <f>+'Split Debt Service'!AE12</f>
        <v>18000</v>
      </c>
      <c r="AQ15" s="735">
        <f>+'Split Debt Service'!AF12</f>
        <v>0</v>
      </c>
      <c r="AR15" s="735">
        <f>+'Split Debt Service'!AG12</f>
        <v>0</v>
      </c>
      <c r="AS15" s="735">
        <f>+'Split Debt Service'!AH12</f>
        <v>0</v>
      </c>
      <c r="AT15" s="735">
        <f>+'Split Debt Service'!AI12</f>
        <v>0</v>
      </c>
      <c r="AU15" s="735">
        <f>+'Split Debt Service'!AJ12</f>
        <v>0</v>
      </c>
      <c r="AV15" s="1051"/>
    </row>
    <row r="16" spans="1:48" s="411" customFormat="1" x14ac:dyDescent="0.25">
      <c r="A16" s="919">
        <v>5933</v>
      </c>
      <c r="B16" s="739" t="s">
        <v>352</v>
      </c>
      <c r="C16" s="808">
        <v>4812.8</v>
      </c>
      <c r="D16" s="805">
        <v>5011.82</v>
      </c>
      <c r="E16" s="805">
        <v>5218.25</v>
      </c>
      <c r="F16" s="805">
        <v>5433.51</v>
      </c>
      <c r="G16" s="805">
        <v>5657.64</v>
      </c>
      <c r="H16" s="805">
        <v>5891.03</v>
      </c>
      <c r="I16" s="805">
        <v>6134.02</v>
      </c>
      <c r="J16" s="805">
        <v>6387.05</v>
      </c>
      <c r="K16" s="735">
        <v>6651</v>
      </c>
      <c r="L16" s="805">
        <v>6650.52</v>
      </c>
      <c r="M16" s="735">
        <v>6925</v>
      </c>
      <c r="N16" s="805">
        <v>6924.85</v>
      </c>
      <c r="O16" s="412">
        <f t="shared" si="1"/>
        <v>7211</v>
      </c>
      <c r="P16" s="412"/>
      <c r="Q16" s="412"/>
      <c r="R16" s="735">
        <f>+'Split Debt Service'!G13</f>
        <v>6651</v>
      </c>
      <c r="S16" s="735">
        <f>+'Split Debt Service'!H13</f>
        <v>6925</v>
      </c>
      <c r="T16" s="735">
        <f>+'Split Debt Service'!I13</f>
        <v>7211</v>
      </c>
      <c r="U16" s="735">
        <f>+'Split Debt Service'!J13</f>
        <v>7508</v>
      </c>
      <c r="V16" s="735">
        <f>+'Split Debt Service'!K13</f>
        <v>7818</v>
      </c>
      <c r="W16" s="735">
        <f>+'Split Debt Service'!L13</f>
        <v>8140</v>
      </c>
      <c r="X16" s="735">
        <f>+'Split Debt Service'!M13</f>
        <v>8476</v>
      </c>
      <c r="Y16" s="735">
        <f>+'Split Debt Service'!N13</f>
        <v>8826</v>
      </c>
      <c r="Z16" s="735">
        <f>+'Split Debt Service'!O13</f>
        <v>9190</v>
      </c>
      <c r="AA16" s="735">
        <f>+'Split Debt Service'!P13</f>
        <v>9569</v>
      </c>
      <c r="AB16" s="735">
        <f>+'Split Debt Service'!Q13</f>
        <v>9964</v>
      </c>
      <c r="AC16" s="735">
        <f>+'Split Debt Service'!R13</f>
        <v>10374</v>
      </c>
      <c r="AD16" s="735">
        <f>+'Split Debt Service'!S13</f>
        <v>10802</v>
      </c>
      <c r="AE16" s="735">
        <f>+'Split Debt Service'!T13</f>
        <v>11248</v>
      </c>
      <c r="AF16" s="735">
        <f>+'Split Debt Service'!U13</f>
        <v>11712</v>
      </c>
      <c r="AG16" s="735">
        <f>+'Split Debt Service'!V13</f>
        <v>12195</v>
      </c>
      <c r="AH16" s="735">
        <f>+'Split Debt Service'!W13</f>
        <v>12698</v>
      </c>
      <c r="AI16" s="735">
        <f>+'Split Debt Service'!X13</f>
        <v>13222</v>
      </c>
      <c r="AJ16" s="735">
        <f>+'Split Debt Service'!Y13</f>
        <v>13767</v>
      </c>
      <c r="AK16" s="735">
        <f>+'Split Debt Service'!Z13</f>
        <v>14335</v>
      </c>
      <c r="AL16" s="735">
        <f>+'Split Debt Service'!AA13</f>
        <v>14927</v>
      </c>
      <c r="AM16" s="735">
        <f>+'Split Debt Service'!AB13</f>
        <v>15542</v>
      </c>
      <c r="AN16" s="735">
        <f>+'Split Debt Service'!AC13</f>
        <v>16184</v>
      </c>
      <c r="AO16" s="735">
        <f>+'Split Debt Service'!AD13</f>
        <v>16851</v>
      </c>
      <c r="AP16" s="735">
        <f>+'Split Debt Service'!AE13</f>
        <v>17546</v>
      </c>
      <c r="AQ16" s="735">
        <f>+'Split Debt Service'!AF13</f>
        <v>18270</v>
      </c>
      <c r="AR16" s="735">
        <f>+'Split Debt Service'!AG13</f>
        <v>19024</v>
      </c>
      <c r="AS16" s="735">
        <f>+'Split Debt Service'!AH13</f>
        <v>19685</v>
      </c>
      <c r="AT16" s="735">
        <f>+'Split Debt Service'!AI13</f>
        <v>0</v>
      </c>
      <c r="AU16" s="735">
        <f>+'Split Debt Service'!AJ13</f>
        <v>0</v>
      </c>
      <c r="AV16" s="1051"/>
    </row>
    <row r="17" spans="1:49" x14ac:dyDescent="0.25">
      <c r="A17" s="881">
        <v>5934</v>
      </c>
      <c r="B17" s="63" t="s">
        <v>683</v>
      </c>
      <c r="C17" s="250">
        <v>5000</v>
      </c>
      <c r="D17" s="37">
        <v>5000</v>
      </c>
      <c r="E17" s="37">
        <v>5000</v>
      </c>
      <c r="F17" s="37">
        <v>5000</v>
      </c>
      <c r="G17" s="37">
        <v>5000</v>
      </c>
      <c r="H17" s="37">
        <v>5000</v>
      </c>
      <c r="I17" s="233">
        <v>5000</v>
      </c>
      <c r="J17" s="233">
        <v>5000</v>
      </c>
      <c r="K17" s="125">
        <v>3553</v>
      </c>
      <c r="L17" s="233">
        <v>3552.5</v>
      </c>
      <c r="M17" s="125">
        <v>3770</v>
      </c>
      <c r="N17" s="37"/>
      <c r="O17" s="125">
        <f t="shared" si="1"/>
        <v>3915</v>
      </c>
      <c r="P17" s="38"/>
      <c r="Q17" s="38"/>
      <c r="R17" s="125">
        <v>3553</v>
      </c>
      <c r="S17" s="125">
        <v>3770</v>
      </c>
      <c r="T17" s="125">
        <v>3915</v>
      </c>
      <c r="U17" s="125">
        <v>4133</v>
      </c>
      <c r="V17" s="125">
        <v>4350</v>
      </c>
      <c r="W17" s="125">
        <v>4568</v>
      </c>
      <c r="X17" s="125">
        <v>4785</v>
      </c>
      <c r="Y17" s="125">
        <v>5075</v>
      </c>
      <c r="Z17" s="38"/>
      <c r="AA17" s="38"/>
      <c r="AB17" s="38"/>
      <c r="AC17" s="38"/>
      <c r="AD17" s="38"/>
      <c r="AE17" s="38"/>
      <c r="AF17" s="38"/>
      <c r="AG17" s="38"/>
      <c r="AH17" s="38"/>
      <c r="AI17" s="38"/>
      <c r="AJ17" s="38"/>
      <c r="AK17" s="38"/>
      <c r="AL17" s="38"/>
      <c r="AM17" s="38"/>
      <c r="AN17" s="38"/>
      <c r="AO17" s="38"/>
      <c r="AP17" s="38"/>
      <c r="AQ17" s="38"/>
      <c r="AR17" s="38"/>
      <c r="AS17" s="38"/>
      <c r="AT17" s="38"/>
      <c r="AU17" s="38"/>
    </row>
    <row r="18" spans="1:49" hidden="1" x14ac:dyDescent="0.25">
      <c r="A18" s="881">
        <v>5935</v>
      </c>
      <c r="B18" s="63" t="s">
        <v>734</v>
      </c>
      <c r="C18" s="250"/>
      <c r="D18" s="37">
        <v>3652.65</v>
      </c>
      <c r="E18" s="37"/>
      <c r="F18" s="37"/>
      <c r="G18" s="37"/>
      <c r="H18" s="37"/>
      <c r="I18" s="233"/>
      <c r="J18" s="233"/>
      <c r="K18" s="125"/>
      <c r="L18" s="233"/>
      <c r="M18" s="125"/>
      <c r="N18" s="37"/>
      <c r="O18" s="125">
        <f t="shared" si="1"/>
        <v>0</v>
      </c>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row>
    <row r="19" spans="1:49" x14ac:dyDescent="0.25">
      <c r="A19" s="881">
        <v>5936</v>
      </c>
      <c r="B19" s="12" t="s">
        <v>732</v>
      </c>
      <c r="C19" s="37"/>
      <c r="D19" s="37">
        <v>5089.1400000000003</v>
      </c>
      <c r="E19" s="37">
        <v>5216.3599999999997</v>
      </c>
      <c r="F19" s="37">
        <v>5346.77</v>
      </c>
      <c r="G19" s="37">
        <v>5480.44</v>
      </c>
      <c r="H19" s="37">
        <v>5617.47</v>
      </c>
      <c r="I19" s="233">
        <v>5757.9</v>
      </c>
      <c r="J19" s="233">
        <v>5901.85</v>
      </c>
      <c r="K19" s="125">
        <v>6050</v>
      </c>
      <c r="L19" s="233">
        <v>6049.38</v>
      </c>
      <c r="M19" s="125">
        <v>6201</v>
      </c>
      <c r="N19" s="37">
        <v>3075.51</v>
      </c>
      <c r="O19" s="125">
        <f t="shared" si="1"/>
        <v>6356</v>
      </c>
      <c r="P19" s="38"/>
      <c r="Q19" s="38"/>
      <c r="R19" s="38">
        <v>6050</v>
      </c>
      <c r="S19" s="38">
        <v>6201</v>
      </c>
      <c r="T19" s="38">
        <v>6356</v>
      </c>
      <c r="U19" s="38">
        <v>6515</v>
      </c>
      <c r="V19" s="38">
        <v>6678</v>
      </c>
      <c r="W19" s="38">
        <v>6845</v>
      </c>
      <c r="X19" s="38">
        <v>7016</v>
      </c>
      <c r="Y19" s="38">
        <v>7191</v>
      </c>
      <c r="Z19" s="38">
        <v>7371</v>
      </c>
      <c r="AA19" s="38">
        <v>7555</v>
      </c>
      <c r="AB19" s="38">
        <v>7744</v>
      </c>
      <c r="AC19" s="38">
        <v>7938</v>
      </c>
      <c r="AD19" s="38">
        <v>8136</v>
      </c>
      <c r="AE19" s="38"/>
      <c r="AF19" s="38"/>
      <c r="AG19" s="38"/>
      <c r="AH19" s="38"/>
      <c r="AI19" s="38"/>
      <c r="AJ19" s="38"/>
      <c r="AK19" s="38"/>
      <c r="AL19" s="38"/>
      <c r="AM19" s="38"/>
      <c r="AN19" s="38"/>
      <c r="AO19" s="38"/>
      <c r="AP19" s="38"/>
      <c r="AQ19" s="38"/>
      <c r="AR19" s="38"/>
      <c r="AS19" s="38"/>
      <c r="AT19" s="38"/>
      <c r="AU19" s="38"/>
    </row>
    <row r="20" spans="1:49" s="411" customFormat="1" x14ac:dyDescent="0.25">
      <c r="A20" s="920">
        <v>5937</v>
      </c>
      <c r="B20" s="810" t="s">
        <v>938</v>
      </c>
      <c r="C20" s="809"/>
      <c r="D20" s="809"/>
      <c r="E20" s="809">
        <v>8000</v>
      </c>
      <c r="F20" s="809">
        <v>5000</v>
      </c>
      <c r="G20" s="809">
        <v>5000</v>
      </c>
      <c r="H20" s="809">
        <v>5000</v>
      </c>
      <c r="I20" s="809">
        <v>5000</v>
      </c>
      <c r="J20" s="809">
        <v>5000</v>
      </c>
      <c r="K20" s="412">
        <v>5000</v>
      </c>
      <c r="L20" s="809">
        <v>5000</v>
      </c>
      <c r="M20" s="412">
        <v>5000</v>
      </c>
      <c r="N20" s="809"/>
      <c r="O20" s="412">
        <f t="shared" si="1"/>
        <v>5000</v>
      </c>
      <c r="P20" s="412"/>
      <c r="Q20" s="412"/>
      <c r="R20" s="412">
        <v>5000</v>
      </c>
      <c r="S20" s="412">
        <v>5000</v>
      </c>
      <c r="T20" s="412">
        <v>5000</v>
      </c>
      <c r="U20" s="412">
        <v>5000</v>
      </c>
      <c r="V20" s="412">
        <v>5000</v>
      </c>
      <c r="W20" s="412">
        <v>5000</v>
      </c>
      <c r="X20" s="412">
        <v>5000</v>
      </c>
      <c r="Y20" s="412">
        <v>5000</v>
      </c>
      <c r="Z20" s="412">
        <v>5000</v>
      </c>
      <c r="AA20" s="412">
        <v>5000</v>
      </c>
      <c r="AB20" s="412">
        <v>5000</v>
      </c>
      <c r="AC20" s="412">
        <v>5000</v>
      </c>
      <c r="AD20" s="412">
        <v>5000</v>
      </c>
      <c r="AE20" s="412">
        <v>5000</v>
      </c>
      <c r="AF20" s="412"/>
      <c r="AG20" s="412"/>
      <c r="AH20" s="412"/>
      <c r="AI20" s="412"/>
      <c r="AJ20" s="412"/>
      <c r="AK20" s="412"/>
      <c r="AL20" s="412"/>
      <c r="AM20" s="412"/>
      <c r="AN20" s="412"/>
      <c r="AO20" s="412"/>
      <c r="AP20" s="412"/>
      <c r="AQ20" s="412"/>
      <c r="AR20" s="412"/>
      <c r="AS20" s="412"/>
      <c r="AT20" s="412"/>
      <c r="AU20" s="412"/>
      <c r="AV20" s="1051"/>
    </row>
    <row r="21" spans="1:49" x14ac:dyDescent="0.25">
      <c r="A21" s="908">
        <v>5938</v>
      </c>
      <c r="B21" s="12" t="s">
        <v>761</v>
      </c>
      <c r="C21" s="37"/>
      <c r="D21" s="37"/>
      <c r="E21" s="37">
        <v>10000</v>
      </c>
      <c r="F21" s="37">
        <v>10000</v>
      </c>
      <c r="G21" s="37">
        <v>10000</v>
      </c>
      <c r="H21" s="37">
        <v>10000</v>
      </c>
      <c r="I21" s="37">
        <v>10000</v>
      </c>
      <c r="J21" s="37">
        <v>10000</v>
      </c>
      <c r="K21" s="38">
        <v>10000</v>
      </c>
      <c r="L21" s="37">
        <v>10000</v>
      </c>
      <c r="M21" s="38"/>
      <c r="N21" s="37"/>
      <c r="O21" s="125">
        <f t="shared" si="1"/>
        <v>0</v>
      </c>
      <c r="P21" s="38"/>
      <c r="Q21" s="38"/>
      <c r="R21" s="38">
        <v>10000</v>
      </c>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row>
    <row r="22" spans="1:49" x14ac:dyDescent="0.25">
      <c r="A22" s="908">
        <v>5939</v>
      </c>
      <c r="B22" s="12" t="s">
        <v>762</v>
      </c>
      <c r="C22" s="37"/>
      <c r="D22" s="37"/>
      <c r="E22" s="37">
        <v>8720.9</v>
      </c>
      <c r="F22" s="37">
        <v>10000</v>
      </c>
      <c r="G22" s="37">
        <v>10000</v>
      </c>
      <c r="H22" s="37">
        <v>10000</v>
      </c>
      <c r="I22" s="37">
        <v>10000</v>
      </c>
      <c r="J22" s="37">
        <v>10000</v>
      </c>
      <c r="K22" s="38">
        <v>10000</v>
      </c>
      <c r="L22" s="37">
        <v>10000</v>
      </c>
      <c r="M22" s="38"/>
      <c r="N22" s="37"/>
      <c r="O22" s="125">
        <f t="shared" si="1"/>
        <v>0</v>
      </c>
      <c r="P22" s="38"/>
      <c r="Q22" s="38"/>
      <c r="R22" s="38">
        <v>10000</v>
      </c>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row>
    <row r="23" spans="1:49" x14ac:dyDescent="0.25">
      <c r="A23" s="908">
        <v>5944</v>
      </c>
      <c r="B23" s="12" t="s">
        <v>1046</v>
      </c>
      <c r="C23" s="37"/>
      <c r="D23" s="37"/>
      <c r="E23" s="37"/>
      <c r="F23" s="37"/>
      <c r="G23" s="37"/>
      <c r="H23" s="37"/>
      <c r="I23" s="37">
        <v>0</v>
      </c>
      <c r="J23" s="37">
        <v>4000</v>
      </c>
      <c r="K23" s="38">
        <v>6000</v>
      </c>
      <c r="L23" s="233">
        <v>6000</v>
      </c>
      <c r="M23" s="38">
        <v>6000</v>
      </c>
      <c r="N23" s="37">
        <v>6000</v>
      </c>
      <c r="O23" s="125">
        <f t="shared" si="1"/>
        <v>6000</v>
      </c>
      <c r="P23" s="38"/>
      <c r="Q23" s="38"/>
      <c r="R23" s="38">
        <v>6000</v>
      </c>
      <c r="S23" s="38">
        <v>6000</v>
      </c>
      <c r="T23" s="38">
        <v>6000</v>
      </c>
      <c r="U23" s="38">
        <v>7000</v>
      </c>
      <c r="V23" s="38">
        <v>7000</v>
      </c>
      <c r="W23" s="38">
        <v>7000</v>
      </c>
      <c r="X23" s="38">
        <v>8000</v>
      </c>
      <c r="Y23" s="38">
        <v>8000</v>
      </c>
      <c r="Z23" s="38">
        <v>8000</v>
      </c>
      <c r="AA23" s="38">
        <v>8000</v>
      </c>
      <c r="AB23" s="38">
        <v>9000</v>
      </c>
      <c r="AC23" s="38"/>
      <c r="AD23" s="38"/>
      <c r="AE23" s="38"/>
      <c r="AF23" s="38"/>
      <c r="AG23" s="38"/>
      <c r="AH23" s="38"/>
      <c r="AI23" s="38"/>
      <c r="AJ23" s="38"/>
      <c r="AK23" s="38"/>
      <c r="AL23" s="38"/>
      <c r="AM23" s="38"/>
      <c r="AN23" s="38"/>
      <c r="AO23" s="38"/>
      <c r="AP23" s="38"/>
      <c r="AQ23" s="38"/>
      <c r="AR23" s="38"/>
      <c r="AS23" s="38"/>
      <c r="AT23" s="38"/>
      <c r="AU23" s="38"/>
    </row>
    <row r="24" spans="1:49" x14ac:dyDescent="0.25">
      <c r="A24" s="908">
        <v>5947</v>
      </c>
      <c r="B24" s="12" t="s">
        <v>1113</v>
      </c>
      <c r="C24" s="37"/>
      <c r="D24" s="37"/>
      <c r="E24" s="37"/>
      <c r="F24" s="37"/>
      <c r="G24" s="37"/>
      <c r="H24" s="37">
        <v>3679</v>
      </c>
      <c r="I24" s="37">
        <v>0</v>
      </c>
      <c r="J24" s="37">
        <v>4000</v>
      </c>
      <c r="K24" s="38">
        <v>5000</v>
      </c>
      <c r="L24" s="233">
        <v>5000</v>
      </c>
      <c r="M24" s="38">
        <v>5000</v>
      </c>
      <c r="N24" s="37">
        <v>5000</v>
      </c>
      <c r="O24" s="125">
        <f t="shared" si="1"/>
        <v>6000</v>
      </c>
      <c r="P24" s="38"/>
      <c r="Q24" s="38"/>
      <c r="R24" s="38">
        <v>5000</v>
      </c>
      <c r="S24" s="38">
        <v>5000</v>
      </c>
      <c r="T24" s="38">
        <v>6000</v>
      </c>
      <c r="U24" s="38">
        <v>6000</v>
      </c>
      <c r="V24" s="38">
        <v>6000</v>
      </c>
      <c r="W24" s="38">
        <v>6000</v>
      </c>
      <c r="X24" s="38">
        <v>6000</v>
      </c>
      <c r="Y24" s="38">
        <v>7000</v>
      </c>
      <c r="Z24" s="38">
        <v>7000</v>
      </c>
      <c r="AA24" s="38">
        <v>7000</v>
      </c>
      <c r="AB24" s="38">
        <v>7000</v>
      </c>
      <c r="AC24" s="38"/>
      <c r="AD24" s="38"/>
      <c r="AE24" s="38"/>
      <c r="AF24" s="38"/>
      <c r="AG24" s="38"/>
      <c r="AH24" s="38"/>
      <c r="AI24" s="38"/>
      <c r="AJ24" s="38"/>
      <c r="AK24" s="38"/>
      <c r="AL24" s="38"/>
      <c r="AM24" s="38"/>
      <c r="AN24" s="38"/>
      <c r="AO24" s="38"/>
      <c r="AP24" s="38"/>
      <c r="AQ24" s="38"/>
      <c r="AR24" s="38"/>
      <c r="AS24" s="38"/>
      <c r="AT24" s="38"/>
      <c r="AU24" s="38"/>
    </row>
    <row r="25" spans="1:49" s="411" customFormat="1" x14ac:dyDescent="0.25">
      <c r="A25" s="920">
        <v>5948</v>
      </c>
      <c r="B25" s="811" t="s">
        <v>1269</v>
      </c>
      <c r="C25" s="809"/>
      <c r="D25" s="809"/>
      <c r="E25" s="809"/>
      <c r="F25" s="809"/>
      <c r="G25" s="809"/>
      <c r="H25" s="809"/>
      <c r="I25" s="809"/>
      <c r="J25" s="809">
        <v>13000</v>
      </c>
      <c r="K25" s="412">
        <v>21000</v>
      </c>
      <c r="L25" s="809">
        <v>21000</v>
      </c>
      <c r="M25" s="412">
        <v>22000</v>
      </c>
      <c r="N25" s="809">
        <v>22000</v>
      </c>
      <c r="O25" s="412">
        <f t="shared" si="1"/>
        <v>23000</v>
      </c>
      <c r="P25" s="412"/>
      <c r="Q25" s="412"/>
      <c r="R25" s="412">
        <v>21000</v>
      </c>
      <c r="S25" s="412">
        <v>22000</v>
      </c>
      <c r="T25" s="412">
        <v>23000</v>
      </c>
      <c r="U25" s="412">
        <v>24000</v>
      </c>
      <c r="V25" s="412">
        <v>25000</v>
      </c>
      <c r="W25" s="412">
        <v>26000</v>
      </c>
      <c r="X25" s="412">
        <v>27000</v>
      </c>
      <c r="Y25" s="412">
        <v>28000</v>
      </c>
      <c r="Z25" s="412">
        <v>29000</v>
      </c>
      <c r="AA25" s="412">
        <v>30000</v>
      </c>
      <c r="AB25" s="412">
        <v>30000</v>
      </c>
      <c r="AC25" s="412">
        <v>31000</v>
      </c>
      <c r="AD25" s="412">
        <v>32000</v>
      </c>
      <c r="AE25" s="412">
        <v>33000</v>
      </c>
      <c r="AF25" s="412">
        <v>34000</v>
      </c>
      <c r="AG25" s="412">
        <v>36000</v>
      </c>
      <c r="AH25" s="412">
        <v>37000</v>
      </c>
      <c r="AI25" s="412">
        <v>38000</v>
      </c>
      <c r="AJ25" s="412">
        <v>40000</v>
      </c>
      <c r="AK25" s="412"/>
      <c r="AL25" s="412"/>
      <c r="AM25" s="412"/>
      <c r="AN25" s="412"/>
      <c r="AO25" s="412"/>
      <c r="AP25" s="412"/>
      <c r="AQ25" s="412"/>
      <c r="AR25" s="412"/>
      <c r="AS25" s="412"/>
      <c r="AT25" s="412"/>
      <c r="AU25" s="412"/>
      <c r="AV25" s="1051"/>
    </row>
    <row r="26" spans="1:49" s="411" customFormat="1" x14ac:dyDescent="0.25">
      <c r="A26" s="920">
        <v>5949</v>
      </c>
      <c r="B26" s="811" t="s">
        <v>1270</v>
      </c>
      <c r="C26" s="809"/>
      <c r="D26" s="809"/>
      <c r="E26" s="809"/>
      <c r="F26" s="809"/>
      <c r="G26" s="809"/>
      <c r="H26" s="809"/>
      <c r="I26" s="809"/>
      <c r="J26" s="809">
        <v>35000</v>
      </c>
      <c r="K26" s="412">
        <v>64000</v>
      </c>
      <c r="L26" s="809">
        <v>64000</v>
      </c>
      <c r="M26" s="412">
        <v>72000</v>
      </c>
      <c r="N26" s="809">
        <v>72000</v>
      </c>
      <c r="O26" s="412">
        <f t="shared" si="1"/>
        <v>72000</v>
      </c>
      <c r="P26" s="412"/>
      <c r="Q26" s="412"/>
      <c r="R26" s="412">
        <v>64000</v>
      </c>
      <c r="S26" s="412">
        <v>72000</v>
      </c>
      <c r="T26" s="412">
        <v>72000</v>
      </c>
      <c r="U26" s="412">
        <v>78000</v>
      </c>
      <c r="V26" s="412">
        <v>82000</v>
      </c>
      <c r="W26" s="412">
        <v>84000</v>
      </c>
      <c r="X26" s="412">
        <v>86000</v>
      </c>
      <c r="Y26" s="412">
        <v>86000</v>
      </c>
      <c r="Z26" s="412">
        <v>93000</v>
      </c>
      <c r="AA26" s="412">
        <v>95000</v>
      </c>
      <c r="AB26" s="412">
        <v>97000</v>
      </c>
      <c r="AC26" s="412">
        <v>101000</v>
      </c>
      <c r="AD26" s="412">
        <v>104000</v>
      </c>
      <c r="AE26" s="412">
        <v>105000</v>
      </c>
      <c r="AF26" s="412">
        <v>108000</v>
      </c>
      <c r="AG26" s="412">
        <v>114000</v>
      </c>
      <c r="AH26" s="412">
        <v>115000</v>
      </c>
      <c r="AI26" s="412">
        <v>118000</v>
      </c>
      <c r="AJ26" s="412">
        <v>123000</v>
      </c>
      <c r="AK26" s="412">
        <v>126000</v>
      </c>
      <c r="AL26" s="412">
        <v>129000</v>
      </c>
      <c r="AM26" s="412">
        <v>134000</v>
      </c>
      <c r="AN26" s="412">
        <v>137000</v>
      </c>
      <c r="AO26" s="412">
        <v>145000</v>
      </c>
      <c r="AP26" s="412"/>
      <c r="AQ26" s="412"/>
      <c r="AR26" s="412"/>
      <c r="AS26" s="412"/>
      <c r="AT26" s="412"/>
      <c r="AU26" s="412"/>
      <c r="AV26" s="1051"/>
    </row>
    <row r="27" spans="1:49" s="411" customFormat="1" x14ac:dyDescent="0.25">
      <c r="A27" s="920">
        <v>5950</v>
      </c>
      <c r="B27" s="811" t="s">
        <v>1339</v>
      </c>
      <c r="C27" s="809"/>
      <c r="D27" s="809"/>
      <c r="E27" s="809"/>
      <c r="F27" s="809"/>
      <c r="G27" s="809"/>
      <c r="H27" s="809"/>
      <c r="I27" s="809"/>
      <c r="J27" s="809"/>
      <c r="K27" s="412">
        <v>135000</v>
      </c>
      <c r="L27" s="809">
        <v>135000</v>
      </c>
      <c r="M27" s="412">
        <v>145000</v>
      </c>
      <c r="N27" s="809"/>
      <c r="O27" s="412">
        <f t="shared" si="1"/>
        <v>155000</v>
      </c>
      <c r="P27" s="412"/>
      <c r="Q27" s="412"/>
      <c r="R27" s="412">
        <v>135000</v>
      </c>
      <c r="S27" s="412">
        <v>145000</v>
      </c>
      <c r="T27" s="412">
        <v>155000</v>
      </c>
      <c r="U27" s="412">
        <v>160000</v>
      </c>
      <c r="V27" s="412">
        <v>170000</v>
      </c>
      <c r="W27" s="412">
        <v>180000</v>
      </c>
      <c r="X27" s="412">
        <v>190000</v>
      </c>
      <c r="Y27" s="412">
        <v>200000</v>
      </c>
      <c r="Z27" s="412">
        <v>205000</v>
      </c>
      <c r="AA27" s="412">
        <v>220000</v>
      </c>
      <c r="AB27" s="412">
        <v>230000</v>
      </c>
      <c r="AC27" s="412">
        <v>235000</v>
      </c>
      <c r="AD27" s="412">
        <v>240000</v>
      </c>
      <c r="AE27" s="412">
        <v>245000</v>
      </c>
      <c r="AF27" s="412">
        <v>250000</v>
      </c>
      <c r="AG27" s="412">
        <v>255000</v>
      </c>
      <c r="AH27" s="412">
        <v>260000</v>
      </c>
      <c r="AI27" s="412">
        <v>265000</v>
      </c>
      <c r="AJ27" s="412">
        <v>270000</v>
      </c>
      <c r="AK27" s="412">
        <v>280000</v>
      </c>
      <c r="AL27" s="412">
        <v>285000</v>
      </c>
      <c r="AM27" s="412">
        <v>290000</v>
      </c>
      <c r="AN27" s="412">
        <v>300000</v>
      </c>
      <c r="AO27" s="412">
        <v>305000</v>
      </c>
      <c r="AP27" s="412">
        <v>315000</v>
      </c>
      <c r="AQ27" s="412"/>
      <c r="AR27" s="412"/>
      <c r="AS27" s="412"/>
      <c r="AT27" s="412"/>
      <c r="AU27" s="412"/>
      <c r="AV27" s="1051"/>
    </row>
    <row r="28" spans="1:49" s="411" customFormat="1" x14ac:dyDescent="0.25">
      <c r="A28" s="920">
        <v>5951</v>
      </c>
      <c r="B28" s="811" t="s">
        <v>1659</v>
      </c>
      <c r="C28" s="809"/>
      <c r="D28" s="809"/>
      <c r="E28" s="809"/>
      <c r="F28" s="809"/>
      <c r="G28" s="809"/>
      <c r="H28" s="809"/>
      <c r="I28" s="809"/>
      <c r="J28" s="809"/>
      <c r="K28" s="412"/>
      <c r="L28" s="809"/>
      <c r="M28" s="412"/>
      <c r="N28" s="809"/>
      <c r="O28" s="412">
        <f t="shared" si="1"/>
        <v>30000</v>
      </c>
      <c r="P28" s="412"/>
      <c r="Q28" s="412"/>
      <c r="R28" s="412"/>
      <c r="S28" s="412"/>
      <c r="T28" s="412">
        <v>30000</v>
      </c>
      <c r="U28" s="412">
        <v>50000</v>
      </c>
      <c r="V28" s="412">
        <v>55000</v>
      </c>
      <c r="W28" s="412">
        <v>60000</v>
      </c>
      <c r="X28" s="412">
        <v>60000</v>
      </c>
      <c r="Y28" s="412">
        <v>65000</v>
      </c>
      <c r="Z28" s="412">
        <v>65000</v>
      </c>
      <c r="AA28" s="412">
        <v>70000</v>
      </c>
      <c r="AB28" s="412">
        <v>75000</v>
      </c>
      <c r="AC28" s="412">
        <v>80000</v>
      </c>
      <c r="AD28" s="412">
        <v>80000</v>
      </c>
      <c r="AE28" s="412">
        <v>80000</v>
      </c>
      <c r="AF28" s="412">
        <v>85000</v>
      </c>
      <c r="AG28" s="412">
        <v>85000</v>
      </c>
      <c r="AH28" s="412">
        <v>85000</v>
      </c>
      <c r="AI28" s="412">
        <v>90000</v>
      </c>
      <c r="AJ28" s="412">
        <v>90000</v>
      </c>
      <c r="AK28" s="412">
        <v>90000</v>
      </c>
      <c r="AL28" s="412"/>
      <c r="AM28" s="412"/>
      <c r="AN28" s="412"/>
      <c r="AO28" s="412"/>
      <c r="AP28" s="412"/>
      <c r="AQ28" s="412"/>
      <c r="AR28" s="412"/>
      <c r="AS28" s="412"/>
      <c r="AT28" s="412"/>
      <c r="AU28" s="412"/>
      <c r="AV28" s="1051">
        <f>SUM(T28:AU28)</f>
        <v>1295000</v>
      </c>
    </row>
    <row r="29" spans="1:49" s="120" customFormat="1" x14ac:dyDescent="0.25">
      <c r="A29" s="937">
        <v>5952</v>
      </c>
      <c r="B29" s="256" t="s">
        <v>1660</v>
      </c>
      <c r="C29" s="233"/>
      <c r="D29" s="233"/>
      <c r="E29" s="233"/>
      <c r="F29" s="233"/>
      <c r="G29" s="233"/>
      <c r="H29" s="233"/>
      <c r="I29" s="233"/>
      <c r="J29" s="233"/>
      <c r="K29" s="125"/>
      <c r="L29" s="233"/>
      <c r="M29" s="125"/>
      <c r="N29" s="233"/>
      <c r="O29" s="125">
        <f>+T29</f>
        <v>13000</v>
      </c>
      <c r="P29" s="125"/>
      <c r="Q29" s="125"/>
      <c r="R29" s="125"/>
      <c r="S29" s="125"/>
      <c r="T29" s="125">
        <v>13000</v>
      </c>
      <c r="U29" s="125">
        <v>18000</v>
      </c>
      <c r="V29" s="125">
        <v>19000</v>
      </c>
      <c r="W29" s="125">
        <v>19000</v>
      </c>
      <c r="X29" s="125">
        <v>20000</v>
      </c>
      <c r="Y29" s="125">
        <v>21000</v>
      </c>
      <c r="Z29" s="125">
        <v>22000</v>
      </c>
      <c r="AA29" s="125">
        <v>23000</v>
      </c>
      <c r="AB29" s="125">
        <v>23000</v>
      </c>
      <c r="AC29" s="125">
        <v>24000</v>
      </c>
      <c r="AD29" s="125">
        <v>24000</v>
      </c>
      <c r="AE29" s="125">
        <v>25000</v>
      </c>
      <c r="AF29" s="125">
        <v>25000</v>
      </c>
      <c r="AG29" s="125"/>
      <c r="AH29" s="125"/>
      <c r="AI29" s="125"/>
      <c r="AJ29" s="125"/>
      <c r="AK29" s="125"/>
      <c r="AL29" s="125"/>
      <c r="AM29" s="125"/>
      <c r="AN29" s="125"/>
      <c r="AO29" s="125"/>
      <c r="AP29" s="125"/>
      <c r="AQ29" s="125"/>
      <c r="AR29" s="125"/>
      <c r="AS29" s="125"/>
      <c r="AT29" s="125"/>
      <c r="AU29" s="125"/>
      <c r="AV29" s="1051">
        <f>SUM(T29:AU29)</f>
        <v>276000</v>
      </c>
    </row>
    <row r="30" spans="1:49" ht="13.8" thickBot="1" x14ac:dyDescent="0.3">
      <c r="A30" s="881"/>
      <c r="B30" s="12"/>
      <c r="C30" s="15"/>
      <c r="D30" s="15"/>
      <c r="E30" s="15"/>
      <c r="F30" s="15"/>
      <c r="G30" s="15"/>
      <c r="H30" s="15"/>
      <c r="I30" s="15"/>
      <c r="J30" s="15"/>
      <c r="K30" s="16"/>
      <c r="L30" s="15"/>
      <c r="M30" s="16"/>
      <c r="N30" s="15"/>
      <c r="O30" s="123"/>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row>
    <row r="31" spans="1:49" x14ac:dyDescent="0.25">
      <c r="A31" s="881"/>
      <c r="B31" s="17" t="s">
        <v>228</v>
      </c>
      <c r="C31" s="18">
        <f>SUM(C9:C30)</f>
        <v>352041.57999999996</v>
      </c>
      <c r="D31" s="18">
        <f>SUM(D9:D30)</f>
        <v>361807.59000000008</v>
      </c>
      <c r="E31" s="18">
        <f>SUM(E9:E30)</f>
        <v>396291.01</v>
      </c>
      <c r="F31" s="18">
        <f>SUM(F10:F30)</f>
        <v>406027.3</v>
      </c>
      <c r="G31" s="18">
        <f>SUM(G10:G30)</f>
        <v>417526.67000000004</v>
      </c>
      <c r="H31" s="18">
        <f>SUM(H10:H30)</f>
        <v>407748.56999999995</v>
      </c>
      <c r="I31" s="18">
        <f>SUM(I9:I30)</f>
        <v>410658.50000000006</v>
      </c>
      <c r="J31" s="18">
        <f>SUM(J9:J30)</f>
        <v>478293.7099999999</v>
      </c>
      <c r="K31" s="19">
        <f>SUM(K9:K30)</f>
        <v>580976</v>
      </c>
      <c r="L31" s="18">
        <f t="shared" ref="L31:M31" si="2">SUM(L9:L30)</f>
        <v>580650.30000000005</v>
      </c>
      <c r="M31" s="19">
        <f t="shared" si="2"/>
        <v>596064</v>
      </c>
      <c r="N31" s="18">
        <f>SUM(N10:N30)</f>
        <v>174938.76</v>
      </c>
      <c r="O31" s="124">
        <f>SUM(O9:O30)</f>
        <v>662515</v>
      </c>
      <c r="P31" s="19">
        <f>SUM(P9:P30)</f>
        <v>0</v>
      </c>
      <c r="Q31" s="19"/>
      <c r="R31" s="19">
        <f t="shared" ref="R31:AU31" si="3">SUM(R8:R30)</f>
        <v>580976</v>
      </c>
      <c r="S31" s="19">
        <f t="shared" si="3"/>
        <v>596064</v>
      </c>
      <c r="T31" s="19">
        <f t="shared" si="3"/>
        <v>662515</v>
      </c>
      <c r="U31" s="19">
        <f t="shared" si="3"/>
        <v>719005</v>
      </c>
      <c r="V31" s="19">
        <f t="shared" si="3"/>
        <v>756532</v>
      </c>
      <c r="W31" s="19">
        <f t="shared" si="3"/>
        <v>791103</v>
      </c>
      <c r="X31" s="19">
        <f t="shared" si="3"/>
        <v>822714</v>
      </c>
      <c r="Y31" s="19">
        <f t="shared" si="3"/>
        <v>825861</v>
      </c>
      <c r="Z31" s="19">
        <f t="shared" si="3"/>
        <v>491085</v>
      </c>
      <c r="AA31" s="19">
        <f t="shared" si="3"/>
        <v>516345</v>
      </c>
      <c r="AB31" s="19">
        <f t="shared" si="3"/>
        <v>537643</v>
      </c>
      <c r="AC31" s="19">
        <f t="shared" si="3"/>
        <v>538979</v>
      </c>
      <c r="AD31" s="19">
        <f t="shared" si="3"/>
        <v>549354</v>
      </c>
      <c r="AE31" s="19">
        <f t="shared" si="3"/>
        <v>550432</v>
      </c>
      <c r="AF31" s="19">
        <f t="shared" si="3"/>
        <v>560682</v>
      </c>
      <c r="AG31" s="19">
        <f t="shared" si="3"/>
        <v>549971</v>
      </c>
      <c r="AH31" s="19">
        <f t="shared" si="3"/>
        <v>558299</v>
      </c>
      <c r="AI31" s="19">
        <f t="shared" si="3"/>
        <v>575668</v>
      </c>
      <c r="AJ31" s="19">
        <f t="shared" si="3"/>
        <v>552767</v>
      </c>
      <c r="AK31" s="19">
        <f t="shared" si="3"/>
        <v>526335</v>
      </c>
      <c r="AL31" s="19">
        <f t="shared" si="3"/>
        <v>444927</v>
      </c>
      <c r="AM31" s="19">
        <f t="shared" si="3"/>
        <v>455542</v>
      </c>
      <c r="AN31" s="19">
        <f t="shared" si="3"/>
        <v>471184</v>
      </c>
      <c r="AO31" s="19">
        <f t="shared" si="3"/>
        <v>484851</v>
      </c>
      <c r="AP31" s="19">
        <f t="shared" si="3"/>
        <v>350546</v>
      </c>
      <c r="AQ31" s="19">
        <f t="shared" si="3"/>
        <v>18270</v>
      </c>
      <c r="AR31" s="19">
        <f t="shared" si="3"/>
        <v>19024</v>
      </c>
      <c r="AS31" s="19">
        <f t="shared" si="3"/>
        <v>19685</v>
      </c>
      <c r="AT31" s="19">
        <f t="shared" si="3"/>
        <v>0</v>
      </c>
      <c r="AU31" s="19">
        <f t="shared" si="3"/>
        <v>0</v>
      </c>
      <c r="AV31" s="1052">
        <f>SUM(R31:AU31)</f>
        <v>14526359</v>
      </c>
      <c r="AW31" t="s">
        <v>1585</v>
      </c>
    </row>
    <row r="32" spans="1:49" x14ac:dyDescent="0.25">
      <c r="A32" s="881"/>
      <c r="B32" s="12"/>
      <c r="C32" s="13"/>
      <c r="D32" s="143"/>
      <c r="E32" s="143"/>
      <c r="F32" s="143"/>
      <c r="G32" s="143"/>
      <c r="H32" s="143"/>
      <c r="I32" s="143"/>
      <c r="J32" s="143"/>
      <c r="K32" s="170"/>
      <c r="L32" s="143"/>
      <c r="M32" s="170"/>
      <c r="N32" s="13"/>
      <c r="O32" s="967"/>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738">
        <f>SUM(S31:AB31)</f>
        <v>6718867</v>
      </c>
      <c r="AW32" t="s">
        <v>1586</v>
      </c>
    </row>
    <row r="33" spans="1:49" x14ac:dyDescent="0.25">
      <c r="A33" s="881">
        <v>751</v>
      </c>
      <c r="B33" s="12" t="s">
        <v>229</v>
      </c>
      <c r="C33" s="13"/>
      <c r="D33" s="143"/>
      <c r="E33" s="143"/>
      <c r="F33" s="143"/>
      <c r="G33" s="143"/>
      <c r="H33" s="143"/>
      <c r="I33" s="143"/>
      <c r="J33" s="143"/>
      <c r="K33" s="170"/>
      <c r="L33" s="143"/>
      <c r="M33" s="170"/>
      <c r="N33" s="13"/>
      <c r="O33" s="967"/>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738">
        <f>ROUND((+AV32/AV31),4)</f>
        <v>0.46250000000000002</v>
      </c>
      <c r="AW33" t="s">
        <v>1587</v>
      </c>
    </row>
    <row r="34" spans="1:49" hidden="1" x14ac:dyDescent="0.25">
      <c r="A34" s="881">
        <v>5910</v>
      </c>
      <c r="B34" s="12" t="s">
        <v>227</v>
      </c>
      <c r="C34" s="37">
        <v>14445</v>
      </c>
      <c r="D34" s="37">
        <v>12477.5</v>
      </c>
      <c r="E34" s="37">
        <v>10605</v>
      </c>
      <c r="F34" s="37">
        <v>8715</v>
      </c>
      <c r="G34" s="37">
        <v>6807.5</v>
      </c>
      <c r="H34" s="37">
        <v>4882.5</v>
      </c>
      <c r="I34" s="233">
        <v>2940</v>
      </c>
      <c r="J34" s="233">
        <v>980</v>
      </c>
      <c r="K34" s="125">
        <v>0</v>
      </c>
      <c r="L34" s="233"/>
      <c r="M34" s="125"/>
      <c r="N34" s="37"/>
      <c r="O34" s="125">
        <f>+S34</f>
        <v>0</v>
      </c>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row>
    <row r="35" spans="1:49" x14ac:dyDescent="0.25">
      <c r="A35" s="881">
        <v>5916</v>
      </c>
      <c r="B35" s="12" t="s">
        <v>394</v>
      </c>
      <c r="C35" s="13">
        <v>19175</v>
      </c>
      <c r="D35" s="13">
        <v>16425</v>
      </c>
      <c r="E35" s="13">
        <v>13675</v>
      </c>
      <c r="F35" s="13">
        <v>10925</v>
      </c>
      <c r="G35" s="13">
        <v>8175</v>
      </c>
      <c r="H35" s="13">
        <v>6300</v>
      </c>
      <c r="I35" s="144">
        <v>5400</v>
      </c>
      <c r="J35" s="144">
        <v>4600</v>
      </c>
      <c r="K35" s="122">
        <v>3900</v>
      </c>
      <c r="L35" s="144">
        <v>3900</v>
      </c>
      <c r="M35" s="122">
        <v>3300</v>
      </c>
      <c r="N35" s="13">
        <v>1800</v>
      </c>
      <c r="O35" s="125">
        <f t="shared" ref="O35:O52" si="4">+T35</f>
        <v>2700</v>
      </c>
      <c r="P35" s="38"/>
      <c r="Q35" s="38"/>
      <c r="R35" s="14">
        <f>700+600+1400+1200</f>
        <v>3900</v>
      </c>
      <c r="S35" s="14">
        <f>600+500+1200+1000</f>
        <v>3300</v>
      </c>
      <c r="T35" s="14">
        <f>500+400+1000+800</f>
        <v>2700</v>
      </c>
      <c r="U35" s="14">
        <f>400+300+800+600</f>
        <v>2100</v>
      </c>
      <c r="V35" s="14">
        <f>300+200+600+400</f>
        <v>1500</v>
      </c>
      <c r="W35" s="14">
        <f>200+100+400+200</f>
        <v>900</v>
      </c>
      <c r="X35" s="14">
        <f>100+200</f>
        <v>300</v>
      </c>
      <c r="Y35" s="14"/>
      <c r="Z35" s="14"/>
      <c r="AA35" s="14"/>
      <c r="AB35" s="14"/>
      <c r="AC35" s="14"/>
      <c r="AD35" s="14"/>
      <c r="AE35" s="14"/>
      <c r="AF35" s="14"/>
      <c r="AG35" s="14"/>
      <c r="AH35" s="14"/>
      <c r="AI35" s="14"/>
      <c r="AJ35" s="14"/>
      <c r="AK35" s="14"/>
      <c r="AL35" s="14"/>
      <c r="AM35" s="14"/>
      <c r="AN35" s="14"/>
      <c r="AO35" s="14"/>
      <c r="AP35" s="14"/>
      <c r="AQ35" s="14"/>
      <c r="AR35" s="14"/>
      <c r="AS35" s="14"/>
      <c r="AT35" s="14"/>
      <c r="AU35" s="14"/>
    </row>
    <row r="36" spans="1:49" s="411" customFormat="1" x14ac:dyDescent="0.25">
      <c r="A36" s="919">
        <v>5920</v>
      </c>
      <c r="B36" s="810" t="s">
        <v>941</v>
      </c>
      <c r="C36" s="805">
        <v>173250</v>
      </c>
      <c r="D36" s="805">
        <v>169100</v>
      </c>
      <c r="E36" s="805">
        <v>163700</v>
      </c>
      <c r="F36" s="805">
        <v>156950</v>
      </c>
      <c r="G36" s="805">
        <v>149900</v>
      </c>
      <c r="H36" s="805">
        <v>141200</v>
      </c>
      <c r="I36" s="805">
        <v>130800</v>
      </c>
      <c r="J36" s="805">
        <v>116652.53</v>
      </c>
      <c r="K36" s="735">
        <v>118944</v>
      </c>
      <c r="L36" s="805">
        <v>118943.69</v>
      </c>
      <c r="M36" s="735">
        <v>103971</v>
      </c>
      <c r="N36" s="805">
        <v>51985.13</v>
      </c>
      <c r="O36" s="412">
        <f t="shared" si="4"/>
        <v>91159</v>
      </c>
      <c r="P36" s="412"/>
      <c r="Q36" s="412"/>
      <c r="R36" s="735">
        <v>118944</v>
      </c>
      <c r="S36" s="735">
        <v>103971</v>
      </c>
      <c r="T36" s="735">
        <v>91159</v>
      </c>
      <c r="U36" s="735">
        <v>77855</v>
      </c>
      <c r="V36" s="735">
        <v>63812</v>
      </c>
      <c r="W36" s="735">
        <v>49029</v>
      </c>
      <c r="X36" s="735">
        <v>33507</v>
      </c>
      <c r="Y36" s="735">
        <v>17246</v>
      </c>
      <c r="Z36" s="735"/>
      <c r="AA36" s="735"/>
      <c r="AB36" s="735"/>
      <c r="AC36" s="735"/>
      <c r="AD36" s="735"/>
      <c r="AE36" s="735"/>
      <c r="AF36" s="735"/>
      <c r="AG36" s="735"/>
      <c r="AH36" s="735"/>
      <c r="AI36" s="735"/>
      <c r="AJ36" s="735"/>
      <c r="AK36" s="735"/>
      <c r="AL36" s="735"/>
      <c r="AM36" s="735"/>
      <c r="AN36" s="735"/>
      <c r="AO36" s="735"/>
      <c r="AP36" s="735"/>
      <c r="AQ36" s="735"/>
      <c r="AR36" s="735"/>
      <c r="AS36" s="735"/>
      <c r="AT36" s="735"/>
      <c r="AU36" s="735"/>
      <c r="AV36" s="1051"/>
    </row>
    <row r="37" spans="1:49" s="411" customFormat="1" x14ac:dyDescent="0.25">
      <c r="A37" s="919">
        <v>5930</v>
      </c>
      <c r="B37" s="739" t="s">
        <v>36</v>
      </c>
      <c r="C37" s="805">
        <v>5857.8</v>
      </c>
      <c r="D37" s="805">
        <v>5506</v>
      </c>
      <c r="E37" s="805">
        <v>5147.08</v>
      </c>
      <c r="F37" s="805">
        <v>4780.91</v>
      </c>
      <c r="G37" s="805">
        <v>4446.9399999999996</v>
      </c>
      <c r="H37" s="805">
        <v>4026.22</v>
      </c>
      <c r="I37" s="805">
        <v>3637.42</v>
      </c>
      <c r="J37" s="805">
        <v>3240.76</v>
      </c>
      <c r="K37" s="735">
        <v>2836</v>
      </c>
      <c r="L37" s="805">
        <v>2836.08</v>
      </c>
      <c r="M37" s="735">
        <v>2424</v>
      </c>
      <c r="N37" s="805">
        <v>1315.86</v>
      </c>
      <c r="O37" s="412">
        <f t="shared" si="4"/>
        <v>2002</v>
      </c>
      <c r="P37" s="412"/>
      <c r="Q37" s="412"/>
      <c r="R37" s="735">
        <f>+'Split Debt Service'!G17</f>
        <v>2836</v>
      </c>
      <c r="S37" s="735">
        <f>+'Split Debt Service'!H17</f>
        <v>2424</v>
      </c>
      <c r="T37" s="735">
        <f>+'Split Debt Service'!I17</f>
        <v>2002</v>
      </c>
      <c r="U37" s="735">
        <f>+'Split Debt Service'!J17</f>
        <v>1572</v>
      </c>
      <c r="V37" s="735">
        <f>+'Split Debt Service'!K17</f>
        <v>1134</v>
      </c>
      <c r="W37" s="735">
        <f>+'Split Debt Service'!L17</f>
        <v>687</v>
      </c>
      <c r="X37" s="735">
        <f>+'Split Debt Service'!M17</f>
        <v>231</v>
      </c>
      <c r="Y37" s="735">
        <f>+'Split Debt Service'!N17</f>
        <v>0</v>
      </c>
      <c r="Z37" s="735">
        <f>+'Split Debt Service'!O17</f>
        <v>0</v>
      </c>
      <c r="AA37" s="735">
        <f>+'Split Debt Service'!P17</f>
        <v>0</v>
      </c>
      <c r="AB37" s="735">
        <f>+'Split Debt Service'!Q17</f>
        <v>0</v>
      </c>
      <c r="AC37" s="735">
        <f>+'Split Debt Service'!R17</f>
        <v>0</v>
      </c>
      <c r="AD37" s="735">
        <f>+'Split Debt Service'!S17</f>
        <v>0</v>
      </c>
      <c r="AE37" s="735">
        <f>+'Split Debt Service'!T17</f>
        <v>0</v>
      </c>
      <c r="AF37" s="735">
        <f>+'Split Debt Service'!U17</f>
        <v>0</v>
      </c>
      <c r="AG37" s="735">
        <f>+'Split Debt Service'!V17</f>
        <v>0</v>
      </c>
      <c r="AH37" s="735">
        <f>+'Split Debt Service'!W17</f>
        <v>0</v>
      </c>
      <c r="AI37" s="735">
        <f>+'Split Debt Service'!X17</f>
        <v>0</v>
      </c>
      <c r="AJ37" s="735">
        <f>+'Split Debt Service'!Y17</f>
        <v>0</v>
      </c>
      <c r="AK37" s="735">
        <f>+'Split Debt Service'!Z17</f>
        <v>0</v>
      </c>
      <c r="AL37" s="735">
        <f>+'Split Debt Service'!AA17</f>
        <v>0</v>
      </c>
      <c r="AM37" s="735">
        <f>+'Split Debt Service'!AB17</f>
        <v>0</v>
      </c>
      <c r="AN37" s="735">
        <f>+'Split Debt Service'!AC17</f>
        <v>0</v>
      </c>
      <c r="AO37" s="735">
        <f>+'Split Debt Service'!AD17</f>
        <v>0</v>
      </c>
      <c r="AP37" s="735">
        <f>+'Split Debt Service'!AE17</f>
        <v>0</v>
      </c>
      <c r="AQ37" s="735">
        <f>+'Split Debt Service'!AF17</f>
        <v>0</v>
      </c>
      <c r="AR37" s="735">
        <f>+'Split Debt Service'!AG17</f>
        <v>0</v>
      </c>
      <c r="AS37" s="735">
        <f>+'Split Debt Service'!AH17</f>
        <v>0</v>
      </c>
      <c r="AT37" s="735">
        <f>+'Split Debt Service'!AI17</f>
        <v>0</v>
      </c>
      <c r="AU37" s="735">
        <f>+'Split Debt Service'!AJ17</f>
        <v>0</v>
      </c>
      <c r="AV37" s="1051"/>
    </row>
    <row r="38" spans="1:49" s="411" customFormat="1" x14ac:dyDescent="0.25">
      <c r="A38" s="919" t="s">
        <v>604</v>
      </c>
      <c r="B38" s="739" t="s">
        <v>39</v>
      </c>
      <c r="C38" s="809">
        <v>552.4</v>
      </c>
      <c r="D38" s="809">
        <v>412.96</v>
      </c>
      <c r="E38" s="809">
        <v>386.04</v>
      </c>
      <c r="F38" s="809">
        <v>358.57</v>
      </c>
      <c r="G38" s="809">
        <v>330.55</v>
      </c>
      <c r="H38" s="809">
        <v>301.97000000000003</v>
      </c>
      <c r="I38" s="805">
        <v>272.81</v>
      </c>
      <c r="J38" s="809">
        <v>243.06</v>
      </c>
      <c r="K38" s="412">
        <v>213</v>
      </c>
      <c r="L38" s="809">
        <v>212.71</v>
      </c>
      <c r="M38" s="412">
        <v>182</v>
      </c>
      <c r="N38" s="809">
        <v>98.69</v>
      </c>
      <c r="O38" s="412">
        <v>151</v>
      </c>
      <c r="P38" s="412"/>
      <c r="Q38" s="412"/>
      <c r="R38" s="735">
        <f>+'Split Debt Service'!G18</f>
        <v>213</v>
      </c>
      <c r="S38" s="735">
        <f>+'Split Debt Service'!H18</f>
        <v>182</v>
      </c>
      <c r="T38" s="735">
        <f>+'Split Debt Service'!I18</f>
        <v>150</v>
      </c>
      <c r="U38" s="735">
        <f>+'Split Debt Service'!J18</f>
        <v>118</v>
      </c>
      <c r="V38" s="735">
        <f>+'Split Debt Service'!K18</f>
        <v>85</v>
      </c>
      <c r="W38" s="735">
        <f>+'Split Debt Service'!L18</f>
        <v>52</v>
      </c>
      <c r="X38" s="735">
        <f>+'Split Debt Service'!M18</f>
        <v>178</v>
      </c>
      <c r="Y38" s="735">
        <f>+'Split Debt Service'!N18</f>
        <v>0</v>
      </c>
      <c r="Z38" s="735">
        <f>+'Split Debt Service'!O18</f>
        <v>0</v>
      </c>
      <c r="AA38" s="735">
        <f>+'Split Debt Service'!P18</f>
        <v>0</v>
      </c>
      <c r="AB38" s="735">
        <f>+'Split Debt Service'!Q18</f>
        <v>0</v>
      </c>
      <c r="AC38" s="735">
        <f>+'Split Debt Service'!R18</f>
        <v>0</v>
      </c>
      <c r="AD38" s="735">
        <f>+'Split Debt Service'!S18</f>
        <v>0</v>
      </c>
      <c r="AE38" s="735">
        <f>+'Split Debt Service'!T18</f>
        <v>0</v>
      </c>
      <c r="AF38" s="735">
        <f>+'Split Debt Service'!U18</f>
        <v>0</v>
      </c>
      <c r="AG38" s="735">
        <f>+'Split Debt Service'!V18</f>
        <v>0</v>
      </c>
      <c r="AH38" s="735">
        <f>+'Split Debt Service'!W18</f>
        <v>0</v>
      </c>
      <c r="AI38" s="735">
        <f>+'Split Debt Service'!X18</f>
        <v>0</v>
      </c>
      <c r="AJ38" s="735">
        <f>+'Split Debt Service'!Y18</f>
        <v>0</v>
      </c>
      <c r="AK38" s="735">
        <f>+'Split Debt Service'!Z18</f>
        <v>0</v>
      </c>
      <c r="AL38" s="735">
        <f>+'Split Debt Service'!AA18</f>
        <v>0</v>
      </c>
      <c r="AM38" s="735">
        <f>+'Split Debt Service'!AB18</f>
        <v>0</v>
      </c>
      <c r="AN38" s="735">
        <f>+'Split Debt Service'!AC18</f>
        <v>0</v>
      </c>
      <c r="AO38" s="735">
        <f>+'Split Debt Service'!AD18</f>
        <v>0</v>
      </c>
      <c r="AP38" s="735">
        <f>+'Split Debt Service'!AE18</f>
        <v>0</v>
      </c>
      <c r="AQ38" s="735">
        <f>+'Split Debt Service'!AF18</f>
        <v>0</v>
      </c>
      <c r="AR38" s="735">
        <f>+'Split Debt Service'!AG18</f>
        <v>0</v>
      </c>
      <c r="AS38" s="735">
        <f>+'Split Debt Service'!AH18</f>
        <v>0</v>
      </c>
      <c r="AT38" s="735">
        <f>+'Split Debt Service'!AI18</f>
        <v>0</v>
      </c>
      <c r="AU38" s="735">
        <f>+'Split Debt Service'!AJ18</f>
        <v>0</v>
      </c>
      <c r="AV38" s="1051"/>
    </row>
    <row r="39" spans="1:49" s="411" customFormat="1" x14ac:dyDescent="0.25">
      <c r="A39" s="919">
        <v>5931</v>
      </c>
      <c r="B39" s="739" t="s">
        <v>37</v>
      </c>
      <c r="C39" s="809">
        <v>16489.34</v>
      </c>
      <c r="D39" s="805">
        <v>16015.69</v>
      </c>
      <c r="E39" s="805">
        <v>15530.44</v>
      </c>
      <c r="F39" s="805">
        <v>15033.34</v>
      </c>
      <c r="G39" s="805">
        <v>14524.1</v>
      </c>
      <c r="H39" s="805">
        <v>14002.41</v>
      </c>
      <c r="I39" s="805">
        <v>13467.98</v>
      </c>
      <c r="J39" s="809">
        <v>12920.49</v>
      </c>
      <c r="K39" s="412">
        <v>12360</v>
      </c>
      <c r="L39" s="809">
        <v>12359.62</v>
      </c>
      <c r="M39" s="412">
        <v>11785</v>
      </c>
      <c r="N39" s="809">
        <v>6037.9</v>
      </c>
      <c r="O39" s="412">
        <f t="shared" si="4"/>
        <v>11197</v>
      </c>
      <c r="P39" s="412"/>
      <c r="Q39" s="412"/>
      <c r="R39" s="735">
        <f>+'Split Debt Service'!G19</f>
        <v>12360</v>
      </c>
      <c r="S39" s="735">
        <f>+'Split Debt Service'!H19</f>
        <v>11785</v>
      </c>
      <c r="T39" s="735">
        <f>+'Split Debt Service'!I19</f>
        <v>11197</v>
      </c>
      <c r="U39" s="735">
        <f>+'Split Debt Service'!J19</f>
        <v>10594</v>
      </c>
      <c r="V39" s="735">
        <f>+'Split Debt Service'!K19</f>
        <v>9976</v>
      </c>
      <c r="W39" s="735">
        <f>+'Split Debt Service'!L19</f>
        <v>9343</v>
      </c>
      <c r="X39" s="735">
        <f>+'Split Debt Service'!M19</f>
        <v>8695</v>
      </c>
      <c r="Y39" s="735">
        <f>+'Split Debt Service'!N19</f>
        <v>8030</v>
      </c>
      <c r="Z39" s="735">
        <f>+'Split Debt Service'!O19</f>
        <v>7350</v>
      </c>
      <c r="AA39" s="735">
        <f>+'Split Debt Service'!P19</f>
        <v>6653</v>
      </c>
      <c r="AB39" s="735">
        <f>+'Split Debt Service'!Q19</f>
        <v>5939</v>
      </c>
      <c r="AC39" s="735">
        <f>+'Split Debt Service'!R19</f>
        <v>5208</v>
      </c>
      <c r="AD39" s="735">
        <f>+'Split Debt Service'!S19</f>
        <v>4458</v>
      </c>
      <c r="AE39" s="735">
        <f>+'Split Debt Service'!T19</f>
        <v>3691</v>
      </c>
      <c r="AF39" s="735">
        <f>+'Split Debt Service'!U19</f>
        <v>2904</v>
      </c>
      <c r="AG39" s="735">
        <f>+'Split Debt Service'!V19</f>
        <v>2099</v>
      </c>
      <c r="AH39" s="735">
        <f>+'Split Debt Service'!W19</f>
        <v>1274</v>
      </c>
      <c r="AI39" s="735">
        <f>+'Split Debt Service'!X19</f>
        <v>428</v>
      </c>
      <c r="AJ39" s="735">
        <f>+'Split Debt Service'!Y19</f>
        <v>0</v>
      </c>
      <c r="AK39" s="735">
        <f>+'Split Debt Service'!Z19</f>
        <v>0</v>
      </c>
      <c r="AL39" s="735">
        <f>+'Split Debt Service'!AA19</f>
        <v>0</v>
      </c>
      <c r="AM39" s="735">
        <f>+'Split Debt Service'!AB19</f>
        <v>0</v>
      </c>
      <c r="AN39" s="735">
        <f>+'Split Debt Service'!AC19</f>
        <v>0</v>
      </c>
      <c r="AO39" s="735">
        <f>+'Split Debt Service'!AD19</f>
        <v>0</v>
      </c>
      <c r="AP39" s="735">
        <f>+'Split Debt Service'!AE19</f>
        <v>0</v>
      </c>
      <c r="AQ39" s="735">
        <f>+'Split Debt Service'!AF19</f>
        <v>0</v>
      </c>
      <c r="AR39" s="735">
        <f>+'Split Debt Service'!AG19</f>
        <v>0</v>
      </c>
      <c r="AS39" s="735">
        <f>+'Split Debt Service'!AH19</f>
        <v>0</v>
      </c>
      <c r="AT39" s="735">
        <f>+'Split Debt Service'!AI19</f>
        <v>0</v>
      </c>
      <c r="AU39" s="735">
        <f>+'Split Debt Service'!AJ19</f>
        <v>0</v>
      </c>
      <c r="AV39" s="1051"/>
    </row>
    <row r="40" spans="1:49" s="411" customFormat="1" x14ac:dyDescent="0.25">
      <c r="A40" s="919" t="s">
        <v>605</v>
      </c>
      <c r="B40" s="739" t="s">
        <v>40</v>
      </c>
      <c r="C40" s="809">
        <v>1024.6199999999999</v>
      </c>
      <c r="D40" s="805">
        <v>995.18</v>
      </c>
      <c r="E40" s="805">
        <v>965.02</v>
      </c>
      <c r="F40" s="805">
        <v>934.13</v>
      </c>
      <c r="G40" s="805">
        <v>902.49</v>
      </c>
      <c r="H40" s="805">
        <v>870.08</v>
      </c>
      <c r="I40" s="805">
        <v>836.87</v>
      </c>
      <c r="J40" s="809">
        <v>802.85</v>
      </c>
      <c r="K40" s="412">
        <v>768</v>
      </c>
      <c r="L40" s="809">
        <v>768</v>
      </c>
      <c r="M40" s="412">
        <v>732</v>
      </c>
      <c r="N40" s="809">
        <v>375.18</v>
      </c>
      <c r="O40" s="412">
        <f t="shared" si="4"/>
        <v>696</v>
      </c>
      <c r="P40" s="412"/>
      <c r="Q40" s="412"/>
      <c r="R40" s="735">
        <f>+'Split Debt Service'!G20</f>
        <v>768</v>
      </c>
      <c r="S40" s="735">
        <f>+'Split Debt Service'!H20</f>
        <v>732</v>
      </c>
      <c r="T40" s="735">
        <f>+'Split Debt Service'!I20</f>
        <v>696</v>
      </c>
      <c r="U40" s="735">
        <f>+'Split Debt Service'!J20</f>
        <v>658</v>
      </c>
      <c r="V40" s="735">
        <f>+'Split Debt Service'!K20</f>
        <v>580</v>
      </c>
      <c r="W40" s="735">
        <f>+'Split Debt Service'!L20</f>
        <v>581</v>
      </c>
      <c r="X40" s="735">
        <f>+'Split Debt Service'!M20</f>
        <v>540</v>
      </c>
      <c r="Y40" s="735">
        <f>+'Split Debt Service'!N20</f>
        <v>499</v>
      </c>
      <c r="Z40" s="735">
        <f>+'Split Debt Service'!O20</f>
        <v>457</v>
      </c>
      <c r="AA40" s="735">
        <f>+'Split Debt Service'!P20</f>
        <v>414</v>
      </c>
      <c r="AB40" s="735">
        <f>+'Split Debt Service'!Q20</f>
        <v>369</v>
      </c>
      <c r="AC40" s="735">
        <f>+'Split Debt Service'!R20</f>
        <v>324</v>
      </c>
      <c r="AD40" s="735">
        <f>+'Split Debt Service'!S20</f>
        <v>277</v>
      </c>
      <c r="AE40" s="735">
        <f>+'Split Debt Service'!T20</f>
        <v>230</v>
      </c>
      <c r="AF40" s="735">
        <f>+'Split Debt Service'!U20</f>
        <v>181</v>
      </c>
      <c r="AG40" s="735">
        <f>+'Split Debt Service'!V20</f>
        <v>131</v>
      </c>
      <c r="AH40" s="735">
        <f>+'Split Debt Service'!W20</f>
        <v>79</v>
      </c>
      <c r="AI40" s="735">
        <f>+'Split Debt Service'!X20</f>
        <v>27</v>
      </c>
      <c r="AJ40" s="735">
        <f>+'Split Debt Service'!Y20</f>
        <v>0</v>
      </c>
      <c r="AK40" s="735">
        <f>+'Split Debt Service'!Z20</f>
        <v>0</v>
      </c>
      <c r="AL40" s="735">
        <f>+'Split Debt Service'!AA20</f>
        <v>0</v>
      </c>
      <c r="AM40" s="735">
        <f>+'Split Debt Service'!AB20</f>
        <v>0</v>
      </c>
      <c r="AN40" s="735">
        <f>+'Split Debt Service'!AC20</f>
        <v>0</v>
      </c>
      <c r="AO40" s="735">
        <f>+'Split Debt Service'!AD20</f>
        <v>0</v>
      </c>
      <c r="AP40" s="735">
        <f>+'Split Debt Service'!AE20</f>
        <v>0</v>
      </c>
      <c r="AQ40" s="735">
        <f>+'Split Debt Service'!AF20</f>
        <v>0</v>
      </c>
      <c r="AR40" s="735">
        <f>+'Split Debt Service'!AG20</f>
        <v>0</v>
      </c>
      <c r="AS40" s="735">
        <f>+'Split Debt Service'!AH20</f>
        <v>0</v>
      </c>
      <c r="AT40" s="735">
        <f>+'Split Debt Service'!AI20</f>
        <v>0</v>
      </c>
      <c r="AU40" s="735">
        <f>+'Split Debt Service'!AJ20</f>
        <v>0</v>
      </c>
      <c r="AV40" s="1051"/>
    </row>
    <row r="41" spans="1:49" s="411" customFormat="1" x14ac:dyDescent="0.25">
      <c r="A41" s="919">
        <v>5932</v>
      </c>
      <c r="B41" s="739" t="s">
        <v>38</v>
      </c>
      <c r="C41" s="809">
        <v>16873.62</v>
      </c>
      <c r="D41" s="805">
        <v>16873.62</v>
      </c>
      <c r="E41" s="805">
        <v>16636.099999999999</v>
      </c>
      <c r="F41" s="805">
        <v>16388.18</v>
      </c>
      <c r="G41" s="805">
        <v>16129.41</v>
      </c>
      <c r="H41" s="805">
        <v>15859.33</v>
      </c>
      <c r="I41" s="805">
        <v>15577.42</v>
      </c>
      <c r="J41" s="809">
        <v>18523.64</v>
      </c>
      <c r="K41" s="412">
        <v>10765</v>
      </c>
      <c r="L41" s="809">
        <v>10765.06</v>
      </c>
      <c r="M41" s="412">
        <v>10103</v>
      </c>
      <c r="N41" s="809">
        <v>5051.25</v>
      </c>
      <c r="O41" s="412">
        <f t="shared" si="4"/>
        <v>9703</v>
      </c>
      <c r="P41" s="412"/>
      <c r="Q41" s="412"/>
      <c r="R41" s="735">
        <f>+'Split Debt Service'!G21</f>
        <v>10765</v>
      </c>
      <c r="S41" s="735">
        <f>+'Split Debt Service'!H21</f>
        <v>10103</v>
      </c>
      <c r="T41" s="735">
        <f>+'Split Debt Service'!I21</f>
        <v>9703</v>
      </c>
      <c r="U41" s="735">
        <f>+'Split Debt Service'!J21</f>
        <v>9303</v>
      </c>
      <c r="V41" s="735">
        <f>+'Split Debt Service'!K21</f>
        <v>8803</v>
      </c>
      <c r="W41" s="735">
        <f>+'Split Debt Service'!L21</f>
        <v>8303</v>
      </c>
      <c r="X41" s="735">
        <f>+'Split Debt Service'!M21</f>
        <v>7803</v>
      </c>
      <c r="Y41" s="735">
        <f>+'Split Debt Service'!N21</f>
        <v>7303</v>
      </c>
      <c r="Z41" s="735">
        <f>+'Split Debt Service'!O21</f>
        <v>6703</v>
      </c>
      <c r="AA41" s="735">
        <f>+'Split Debt Service'!P21</f>
        <v>6103</v>
      </c>
      <c r="AB41" s="735">
        <f>+'Split Debt Service'!Q21</f>
        <v>5503</v>
      </c>
      <c r="AC41" s="735">
        <f>+'Split Debt Service'!R21</f>
        <v>5223</v>
      </c>
      <c r="AD41" s="735">
        <f>+'Split Debt Service'!S21</f>
        <v>4943</v>
      </c>
      <c r="AE41" s="735">
        <f>+'Split Debt Service'!T21</f>
        <v>4663</v>
      </c>
      <c r="AF41" s="735">
        <f>+'Split Debt Service'!U21</f>
        <v>4365</v>
      </c>
      <c r="AG41" s="735">
        <f>+'Split Debt Service'!V21</f>
        <v>4068</v>
      </c>
      <c r="AH41" s="735">
        <f>+'Split Debt Service'!W21</f>
        <v>3753</v>
      </c>
      <c r="AI41" s="735">
        <f>+'Split Debt Service'!X21</f>
        <v>3420</v>
      </c>
      <c r="AJ41" s="735">
        <f>+'Split Debt Service'!Y21</f>
        <v>3040</v>
      </c>
      <c r="AK41" s="735">
        <f>+'Split Debt Service'!Z21</f>
        <v>2660</v>
      </c>
      <c r="AL41" s="735">
        <f>+'Split Debt Service'!AA21</f>
        <v>2260</v>
      </c>
      <c r="AM41" s="735">
        <f>+'Split Debt Service'!AB21</f>
        <v>1860</v>
      </c>
      <c r="AN41" s="735">
        <f>+'Split Debt Service'!AC21</f>
        <v>1440</v>
      </c>
      <c r="AO41" s="735">
        <f>+'Split Debt Service'!AD21</f>
        <v>968</v>
      </c>
      <c r="AP41" s="735">
        <f>+'Split Debt Service'!AE21</f>
        <v>495</v>
      </c>
      <c r="AQ41" s="735">
        <f>+'Split Debt Service'!AF21</f>
        <v>0</v>
      </c>
      <c r="AR41" s="735">
        <f>+'Split Debt Service'!AG21</f>
        <v>0</v>
      </c>
      <c r="AS41" s="735">
        <f>+'Split Debt Service'!AH21</f>
        <v>0</v>
      </c>
      <c r="AT41" s="735">
        <f>+'Split Debt Service'!AI21</f>
        <v>0</v>
      </c>
      <c r="AU41" s="735">
        <f>+'Split Debt Service'!AJ21</f>
        <v>0</v>
      </c>
      <c r="AV41" s="1051"/>
    </row>
    <row r="42" spans="1:49" s="411" customFormat="1" x14ac:dyDescent="0.25">
      <c r="A42" s="919">
        <v>5933</v>
      </c>
      <c r="B42" s="739" t="s">
        <v>352</v>
      </c>
      <c r="C42" s="809">
        <v>15807.2</v>
      </c>
      <c r="D42" s="805">
        <v>15608.47</v>
      </c>
      <c r="E42" s="805">
        <v>15401.74</v>
      </c>
      <c r="F42" s="805">
        <v>15186.5</v>
      </c>
      <c r="G42" s="805">
        <v>14962.36</v>
      </c>
      <c r="H42" s="805">
        <v>14728.98</v>
      </c>
      <c r="I42" s="805">
        <v>14485.98</v>
      </c>
      <c r="J42" s="809">
        <v>14232.95</v>
      </c>
      <c r="K42" s="412">
        <v>13970</v>
      </c>
      <c r="L42" s="809">
        <v>13969.49</v>
      </c>
      <c r="M42" s="412">
        <v>13695</v>
      </c>
      <c r="N42" s="809">
        <v>13695.15</v>
      </c>
      <c r="O42" s="412">
        <f t="shared" si="4"/>
        <v>13410</v>
      </c>
      <c r="P42" s="412"/>
      <c r="Q42" s="412"/>
      <c r="R42" s="735">
        <f>+'Split Debt Service'!G22</f>
        <v>13970</v>
      </c>
      <c r="S42" s="735">
        <f>+'Split Debt Service'!H22</f>
        <v>13695</v>
      </c>
      <c r="T42" s="735">
        <f>+'Split Debt Service'!I22</f>
        <v>13410</v>
      </c>
      <c r="U42" s="735">
        <f>+'Split Debt Service'!J22</f>
        <v>13112</v>
      </c>
      <c r="V42" s="735">
        <f>+'Split Debt Service'!K22</f>
        <v>12802</v>
      </c>
      <c r="W42" s="735">
        <f>+'Split Debt Service'!L22</f>
        <v>12480</v>
      </c>
      <c r="X42" s="735">
        <f>+'Split Debt Service'!M22</f>
        <v>12144</v>
      </c>
      <c r="Y42" s="735">
        <f>+'Split Debt Service'!N22</f>
        <v>11795</v>
      </c>
      <c r="Z42" s="735">
        <f>+'Split Debt Service'!O22</f>
        <v>11431</v>
      </c>
      <c r="AA42" s="735">
        <f>+'Split Debt Service'!P22</f>
        <v>11052</v>
      </c>
      <c r="AB42" s="735">
        <f>+'Split Debt Service'!Q22</f>
        <v>10657</v>
      </c>
      <c r="AC42" s="735">
        <f>+'Split Debt Service'!R22</f>
        <v>10246</v>
      </c>
      <c r="AD42" s="735">
        <f>+'Split Debt Service'!S22</f>
        <v>9818</v>
      </c>
      <c r="AE42" s="735">
        <f>+'Split Debt Service'!T22</f>
        <v>9372</v>
      </c>
      <c r="AF42" s="735">
        <f>+'Split Debt Service'!U22</f>
        <v>8908</v>
      </c>
      <c r="AG42" s="735">
        <f>+'Split Debt Service'!V22</f>
        <v>8425</v>
      </c>
      <c r="AH42" s="735">
        <f>+'Split Debt Service'!W22</f>
        <v>7922</v>
      </c>
      <c r="AI42" s="735">
        <f>+'Split Debt Service'!X22</f>
        <v>7398</v>
      </c>
      <c r="AJ42" s="735">
        <f>+'Split Debt Service'!Y22</f>
        <v>6853</v>
      </c>
      <c r="AK42" s="735">
        <f>+'Split Debt Service'!Z22</f>
        <v>6285</v>
      </c>
      <c r="AL42" s="735">
        <f>+'Split Debt Service'!AA22</f>
        <v>5694</v>
      </c>
      <c r="AM42" s="735">
        <f>+'Split Debt Service'!AB22</f>
        <v>5078</v>
      </c>
      <c r="AN42" s="735">
        <f>+'Split Debt Service'!AC22</f>
        <v>4437</v>
      </c>
      <c r="AO42" s="735">
        <f>+'Split Debt Service'!AD22</f>
        <v>3769</v>
      </c>
      <c r="AP42" s="735">
        <f>+'Split Debt Service'!AE22</f>
        <v>3074</v>
      </c>
      <c r="AQ42" s="735">
        <f>+'Split Debt Service'!AF22</f>
        <v>1150</v>
      </c>
      <c r="AR42" s="735">
        <f>+'Split Debt Service'!AG22</f>
        <v>1597</v>
      </c>
      <c r="AS42" s="735">
        <f>+'Split Debt Service'!AH22</f>
        <v>812</v>
      </c>
      <c r="AT42" s="735">
        <f>+'Split Debt Service'!AI22</f>
        <v>0</v>
      </c>
      <c r="AU42" s="735">
        <f>+'Split Debt Service'!AJ22</f>
        <v>0</v>
      </c>
      <c r="AV42" s="1051"/>
    </row>
    <row r="43" spans="1:49" x14ac:dyDescent="0.25">
      <c r="A43" s="881">
        <v>5934</v>
      </c>
      <c r="B43" s="12" t="s">
        <v>683</v>
      </c>
      <c r="C43" s="37">
        <v>2875</v>
      </c>
      <c r="D43" s="37">
        <v>2775</v>
      </c>
      <c r="E43" s="37">
        <v>2650</v>
      </c>
      <c r="F43" s="37">
        <v>2500</v>
      </c>
      <c r="G43" s="37">
        <v>2350</v>
      </c>
      <c r="H43" s="37">
        <v>2175</v>
      </c>
      <c r="I43" s="233">
        <v>1975</v>
      </c>
      <c r="J43" s="233">
        <v>1775</v>
      </c>
      <c r="K43" s="125">
        <v>1751</v>
      </c>
      <c r="L43" s="233">
        <v>1750.06</v>
      </c>
      <c r="M43" s="125">
        <v>1530</v>
      </c>
      <c r="N43" s="37">
        <v>764.88</v>
      </c>
      <c r="O43" s="125">
        <f t="shared" si="4"/>
        <v>1342</v>
      </c>
      <c r="P43" s="38"/>
      <c r="Q43" s="38"/>
      <c r="R43" s="38">
        <v>1751</v>
      </c>
      <c r="S43" s="38">
        <v>1530</v>
      </c>
      <c r="T43" s="38">
        <v>1342</v>
      </c>
      <c r="U43" s="38">
        <v>1146</v>
      </c>
      <c r="V43" s="38">
        <v>939</v>
      </c>
      <c r="W43" s="38">
        <v>722</v>
      </c>
      <c r="X43" s="38">
        <v>493</v>
      </c>
      <c r="Y43" s="38">
        <v>254</v>
      </c>
      <c r="Z43" s="38"/>
      <c r="AA43" s="38"/>
      <c r="AB43" s="38"/>
      <c r="AC43" s="38"/>
      <c r="AD43" s="38"/>
      <c r="AE43" s="38"/>
      <c r="AF43" s="38"/>
      <c r="AG43" s="38"/>
      <c r="AH43" s="38"/>
      <c r="AI43" s="38"/>
      <c r="AJ43" s="38"/>
      <c r="AK43" s="38"/>
      <c r="AL43" s="38"/>
      <c r="AM43" s="38"/>
      <c r="AN43" s="38"/>
      <c r="AO43" s="38"/>
      <c r="AP43" s="38"/>
      <c r="AQ43" s="38"/>
      <c r="AR43" s="38"/>
      <c r="AS43" s="38"/>
      <c r="AT43" s="38"/>
      <c r="AU43" s="38"/>
    </row>
    <row r="44" spans="1:49" x14ac:dyDescent="0.25">
      <c r="A44" s="881">
        <v>5936</v>
      </c>
      <c r="B44" s="29" t="s">
        <v>733</v>
      </c>
      <c r="C44" s="37"/>
      <c r="D44" s="37">
        <v>3173.22</v>
      </c>
      <c r="E44" s="37">
        <v>3046</v>
      </c>
      <c r="F44" s="37">
        <v>2915.59</v>
      </c>
      <c r="G44" s="37">
        <v>2781.92</v>
      </c>
      <c r="H44" s="37">
        <v>2644.89</v>
      </c>
      <c r="I44" s="233">
        <v>2504.46</v>
      </c>
      <c r="J44" s="233">
        <v>2360.5100000000002</v>
      </c>
      <c r="K44" s="125">
        <v>2213</v>
      </c>
      <c r="L44" s="233">
        <v>2212.98</v>
      </c>
      <c r="M44" s="125">
        <v>2062</v>
      </c>
      <c r="N44" s="37">
        <v>1055.67</v>
      </c>
      <c r="O44" s="125">
        <f t="shared" si="4"/>
        <v>1907</v>
      </c>
      <c r="P44" s="38"/>
      <c r="Q44" s="38"/>
      <c r="R44" s="38">
        <v>2213</v>
      </c>
      <c r="S44" s="38">
        <v>2062</v>
      </c>
      <c r="T44" s="38">
        <v>1907</v>
      </c>
      <c r="U44" s="38">
        <v>1748</v>
      </c>
      <c r="V44" s="38">
        <v>1585</v>
      </c>
      <c r="W44" s="38">
        <v>1419</v>
      </c>
      <c r="X44" s="38">
        <v>1247</v>
      </c>
      <c r="Y44" s="38">
        <v>1072</v>
      </c>
      <c r="Z44" s="38">
        <v>892</v>
      </c>
      <c r="AA44" s="38">
        <v>708</v>
      </c>
      <c r="AB44" s="38">
        <v>519</v>
      </c>
      <c r="AC44" s="38">
        <v>326</v>
      </c>
      <c r="AD44" s="38">
        <v>127</v>
      </c>
      <c r="AE44" s="38"/>
      <c r="AF44" s="38"/>
      <c r="AG44" s="38"/>
      <c r="AH44" s="38"/>
      <c r="AI44" s="38"/>
      <c r="AJ44" s="38"/>
      <c r="AK44" s="38"/>
      <c r="AL44" s="38"/>
      <c r="AM44" s="38"/>
      <c r="AN44" s="38"/>
      <c r="AO44" s="38"/>
      <c r="AP44" s="38"/>
      <c r="AQ44" s="38"/>
      <c r="AR44" s="38"/>
      <c r="AS44" s="38"/>
      <c r="AT44" s="38"/>
      <c r="AU44" s="38"/>
    </row>
    <row r="45" spans="1:49" s="411" customFormat="1" x14ac:dyDescent="0.25">
      <c r="A45" s="920">
        <v>5937</v>
      </c>
      <c r="B45" s="811" t="s">
        <v>939</v>
      </c>
      <c r="C45" s="809"/>
      <c r="D45" s="809"/>
      <c r="E45" s="809">
        <v>2860.82</v>
      </c>
      <c r="F45" s="809">
        <v>3275</v>
      </c>
      <c r="G45" s="809">
        <v>3125</v>
      </c>
      <c r="H45" s="809">
        <v>2975</v>
      </c>
      <c r="I45" s="809">
        <v>2825</v>
      </c>
      <c r="J45" s="809">
        <v>2675</v>
      </c>
      <c r="K45" s="412">
        <v>2525</v>
      </c>
      <c r="L45" s="809">
        <v>2525</v>
      </c>
      <c r="M45" s="412">
        <v>2375</v>
      </c>
      <c r="N45" s="809">
        <v>1187.5</v>
      </c>
      <c r="O45" s="412">
        <f t="shared" si="4"/>
        <v>2225</v>
      </c>
      <c r="P45" s="412"/>
      <c r="Q45" s="412"/>
      <c r="R45" s="412">
        <v>2525</v>
      </c>
      <c r="S45" s="412">
        <v>2375</v>
      </c>
      <c r="T45" s="412">
        <v>2225</v>
      </c>
      <c r="U45" s="412">
        <v>2075</v>
      </c>
      <c r="V45" s="412">
        <v>1925</v>
      </c>
      <c r="W45" s="412">
        <v>1738</v>
      </c>
      <c r="X45" s="412">
        <v>1550</v>
      </c>
      <c r="Y45" s="412">
        <v>1363</v>
      </c>
      <c r="Z45" s="412">
        <v>1175</v>
      </c>
      <c r="AA45" s="412">
        <v>988</v>
      </c>
      <c r="AB45" s="412">
        <v>800</v>
      </c>
      <c r="AC45" s="412">
        <v>600</v>
      </c>
      <c r="AD45" s="412">
        <v>400</v>
      </c>
      <c r="AE45" s="412">
        <v>200</v>
      </c>
      <c r="AF45" s="412"/>
      <c r="AG45" s="412"/>
      <c r="AH45" s="412"/>
      <c r="AI45" s="412"/>
      <c r="AJ45" s="412"/>
      <c r="AK45" s="412"/>
      <c r="AL45" s="412"/>
      <c r="AM45" s="412"/>
      <c r="AN45" s="412"/>
      <c r="AO45" s="412"/>
      <c r="AP45" s="412"/>
      <c r="AQ45" s="412"/>
      <c r="AR45" s="412"/>
      <c r="AS45" s="412"/>
      <c r="AT45" s="412"/>
      <c r="AU45" s="412"/>
      <c r="AV45" s="1051"/>
    </row>
    <row r="46" spans="1:49" x14ac:dyDescent="0.25">
      <c r="A46" s="908">
        <v>5938</v>
      </c>
      <c r="B46" s="12" t="s">
        <v>761</v>
      </c>
      <c r="C46" s="37"/>
      <c r="D46" s="37"/>
      <c r="E46" s="37">
        <v>1290</v>
      </c>
      <c r="F46" s="37">
        <v>1290</v>
      </c>
      <c r="G46" s="37">
        <v>1075</v>
      </c>
      <c r="H46" s="37">
        <v>860</v>
      </c>
      <c r="I46" s="37">
        <v>645</v>
      </c>
      <c r="J46" s="37">
        <v>430</v>
      </c>
      <c r="K46" s="38">
        <v>215</v>
      </c>
      <c r="L46" s="37">
        <v>215</v>
      </c>
      <c r="M46" s="38"/>
      <c r="N46" s="37"/>
      <c r="O46" s="125">
        <f t="shared" si="4"/>
        <v>0</v>
      </c>
      <c r="P46" s="38"/>
      <c r="Q46" s="38"/>
      <c r="R46" s="38">
        <v>215</v>
      </c>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row>
    <row r="47" spans="1:49" x14ac:dyDescent="0.25">
      <c r="A47" s="908">
        <v>5939</v>
      </c>
      <c r="B47" s="12" t="s">
        <v>762</v>
      </c>
      <c r="C47" s="37"/>
      <c r="D47" s="37"/>
      <c r="E47" s="37">
        <v>1692.5</v>
      </c>
      <c r="F47" s="37">
        <v>1290</v>
      </c>
      <c r="G47" s="37">
        <v>1075</v>
      </c>
      <c r="H47" s="37">
        <v>860</v>
      </c>
      <c r="I47" s="37">
        <v>645</v>
      </c>
      <c r="J47" s="37">
        <v>430</v>
      </c>
      <c r="K47" s="38">
        <v>215</v>
      </c>
      <c r="L47" s="37">
        <v>215</v>
      </c>
      <c r="M47" s="38"/>
      <c r="N47" s="37"/>
      <c r="O47" s="125">
        <f t="shared" si="4"/>
        <v>0</v>
      </c>
      <c r="P47" s="38"/>
      <c r="Q47" s="38"/>
      <c r="R47" s="38">
        <v>215</v>
      </c>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row>
    <row r="48" spans="1:49" x14ac:dyDescent="0.25">
      <c r="A48" s="908">
        <v>5944</v>
      </c>
      <c r="B48" s="12" t="s">
        <v>1046</v>
      </c>
      <c r="C48" s="37"/>
      <c r="D48" s="37"/>
      <c r="E48" s="37"/>
      <c r="F48" s="37"/>
      <c r="G48" s="37"/>
      <c r="H48" s="37"/>
      <c r="I48" s="37">
        <v>0</v>
      </c>
      <c r="J48" s="37">
        <v>4200</v>
      </c>
      <c r="K48" s="38">
        <v>2875</v>
      </c>
      <c r="L48" s="37">
        <v>2875</v>
      </c>
      <c r="M48" s="38">
        <v>2575</v>
      </c>
      <c r="N48" s="37">
        <v>1362.5</v>
      </c>
      <c r="O48" s="125">
        <f t="shared" si="4"/>
        <v>2275</v>
      </c>
      <c r="P48" s="38"/>
      <c r="Q48" s="38"/>
      <c r="R48" s="38">
        <v>2875</v>
      </c>
      <c r="S48" s="38">
        <v>2575</v>
      </c>
      <c r="T48" s="38">
        <v>2275</v>
      </c>
      <c r="U48" s="38">
        <v>1950</v>
      </c>
      <c r="V48" s="38">
        <v>1679</v>
      </c>
      <c r="W48" s="38">
        <v>1487</v>
      </c>
      <c r="X48" s="38">
        <v>1190</v>
      </c>
      <c r="Y48" s="38">
        <v>870</v>
      </c>
      <c r="Z48" s="38">
        <v>630</v>
      </c>
      <c r="AA48" s="38">
        <v>390</v>
      </c>
      <c r="AB48" s="38">
        <v>135</v>
      </c>
      <c r="AC48" s="38"/>
      <c r="AD48" s="38"/>
      <c r="AE48" s="38"/>
      <c r="AF48" s="38"/>
      <c r="AG48" s="38"/>
      <c r="AH48" s="38"/>
      <c r="AI48" s="38"/>
      <c r="AJ48" s="38"/>
      <c r="AK48" s="38"/>
      <c r="AL48" s="38"/>
      <c r="AM48" s="38"/>
      <c r="AN48" s="38"/>
      <c r="AO48" s="38"/>
      <c r="AP48" s="38"/>
      <c r="AQ48" s="38"/>
      <c r="AR48" s="38"/>
      <c r="AS48" s="38"/>
      <c r="AT48" s="38"/>
      <c r="AU48" s="38"/>
    </row>
    <row r="49" spans="1:48" x14ac:dyDescent="0.25">
      <c r="A49" s="908">
        <v>5947</v>
      </c>
      <c r="B49" s="29" t="s">
        <v>1110</v>
      </c>
      <c r="C49" s="37"/>
      <c r="D49" s="37"/>
      <c r="E49" s="37"/>
      <c r="F49" s="37"/>
      <c r="G49" s="37"/>
      <c r="H49" s="37"/>
      <c r="I49" s="37"/>
      <c r="J49" s="37">
        <v>3593.33</v>
      </c>
      <c r="K49" s="38">
        <v>2445</v>
      </c>
      <c r="L49" s="37">
        <v>2445</v>
      </c>
      <c r="M49" s="38">
        <v>2195</v>
      </c>
      <c r="N49" s="37">
        <v>1160</v>
      </c>
      <c r="O49" s="125">
        <f t="shared" si="4"/>
        <v>1920</v>
      </c>
      <c r="P49" s="38"/>
      <c r="Q49" s="38"/>
      <c r="R49" s="38">
        <v>2445</v>
      </c>
      <c r="S49" s="38">
        <v>2195</v>
      </c>
      <c r="T49" s="38">
        <v>1920</v>
      </c>
      <c r="U49" s="38">
        <v>1620</v>
      </c>
      <c r="V49" s="38">
        <v>1388</v>
      </c>
      <c r="W49" s="38">
        <v>1223</v>
      </c>
      <c r="X49" s="38">
        <v>990</v>
      </c>
      <c r="Y49" s="38">
        <v>735</v>
      </c>
      <c r="Z49" s="38">
        <v>525</v>
      </c>
      <c r="AA49" s="38">
        <v>315</v>
      </c>
      <c r="AB49" s="38">
        <v>105</v>
      </c>
      <c r="AC49" s="38"/>
      <c r="AD49" s="38"/>
      <c r="AE49" s="38"/>
      <c r="AF49" s="38"/>
      <c r="AG49" s="38"/>
      <c r="AH49" s="38"/>
      <c r="AI49" s="38"/>
      <c r="AJ49" s="38"/>
      <c r="AK49" s="38"/>
      <c r="AL49" s="38"/>
      <c r="AM49" s="38"/>
      <c r="AN49" s="38"/>
      <c r="AO49" s="38"/>
      <c r="AP49" s="38"/>
      <c r="AQ49" s="38"/>
      <c r="AR49" s="38"/>
      <c r="AS49" s="38"/>
      <c r="AT49" s="38"/>
      <c r="AU49" s="38"/>
    </row>
    <row r="50" spans="1:48" s="411" customFormat="1" x14ac:dyDescent="0.25">
      <c r="A50" s="920">
        <v>5948</v>
      </c>
      <c r="B50" s="811" t="s">
        <v>1283</v>
      </c>
      <c r="C50" s="809"/>
      <c r="D50" s="809"/>
      <c r="E50" s="809"/>
      <c r="F50" s="809"/>
      <c r="G50" s="809"/>
      <c r="H50" s="809"/>
      <c r="I50" s="809"/>
      <c r="J50" s="809">
        <v>26758.31</v>
      </c>
      <c r="K50" s="412">
        <v>19138</v>
      </c>
      <c r="L50" s="809">
        <v>19137.5</v>
      </c>
      <c r="M50" s="412">
        <v>18063</v>
      </c>
      <c r="N50" s="809">
        <v>9306.26</v>
      </c>
      <c r="O50" s="412">
        <f t="shared" si="4"/>
        <v>16938</v>
      </c>
      <c r="P50" s="412"/>
      <c r="Q50" s="412"/>
      <c r="R50" s="412">
        <v>19138</v>
      </c>
      <c r="S50" s="412">
        <v>18063</v>
      </c>
      <c r="T50" s="412">
        <v>16938</v>
      </c>
      <c r="U50" s="412">
        <v>15763</v>
      </c>
      <c r="V50" s="412">
        <v>14819</v>
      </c>
      <c r="W50" s="412">
        <v>14118</v>
      </c>
      <c r="X50" s="412">
        <v>13085</v>
      </c>
      <c r="Y50" s="412">
        <v>11990</v>
      </c>
      <c r="Z50" s="412">
        <v>11135</v>
      </c>
      <c r="AA50" s="412">
        <v>10250</v>
      </c>
      <c r="AB50" s="412">
        <v>9350</v>
      </c>
      <c r="AC50" s="412">
        <v>8435</v>
      </c>
      <c r="AD50" s="412">
        <v>7490</v>
      </c>
      <c r="AE50" s="412">
        <v>6515</v>
      </c>
      <c r="AF50" s="412">
        <v>5489</v>
      </c>
      <c r="AG50" s="412">
        <v>4373</v>
      </c>
      <c r="AH50" s="412">
        <v>3187</v>
      </c>
      <c r="AI50" s="412">
        <v>1968</v>
      </c>
      <c r="AJ50" s="412">
        <v>675</v>
      </c>
      <c r="AK50" s="412"/>
      <c r="AL50" s="412"/>
      <c r="AM50" s="412"/>
      <c r="AN50" s="412"/>
      <c r="AO50" s="412"/>
      <c r="AP50" s="412"/>
      <c r="AQ50" s="412"/>
      <c r="AR50" s="412"/>
      <c r="AS50" s="412"/>
      <c r="AT50" s="412"/>
      <c r="AU50" s="412"/>
      <c r="AV50" s="1051"/>
    </row>
    <row r="51" spans="1:48" s="411" customFormat="1" x14ac:dyDescent="0.25">
      <c r="A51" s="920">
        <v>5949</v>
      </c>
      <c r="B51" s="811" t="s">
        <v>1270</v>
      </c>
      <c r="C51" s="809"/>
      <c r="D51" s="809"/>
      <c r="E51" s="809"/>
      <c r="F51" s="809"/>
      <c r="G51" s="809"/>
      <c r="H51" s="809"/>
      <c r="I51" s="809"/>
      <c r="J51" s="809">
        <v>115970.04</v>
      </c>
      <c r="K51" s="412">
        <v>84284</v>
      </c>
      <c r="L51" s="809">
        <v>84283.73</v>
      </c>
      <c r="M51" s="412">
        <v>80884</v>
      </c>
      <c r="N51" s="809">
        <v>41341.870000000003</v>
      </c>
      <c r="O51" s="412">
        <f t="shared" si="4"/>
        <v>77284</v>
      </c>
      <c r="P51" s="412"/>
      <c r="Q51" s="412"/>
      <c r="R51" s="412">
        <v>84284</v>
      </c>
      <c r="S51" s="412">
        <v>80884</v>
      </c>
      <c r="T51" s="412">
        <v>77284</v>
      </c>
      <c r="U51" s="412">
        <v>73534</v>
      </c>
      <c r="V51" s="412">
        <v>70457</v>
      </c>
      <c r="W51" s="412">
        <v>68174</v>
      </c>
      <c r="X51" s="412">
        <v>64869</v>
      </c>
      <c r="Y51" s="412">
        <v>61429</v>
      </c>
      <c r="Z51" s="412">
        <v>58744</v>
      </c>
      <c r="AA51" s="412">
        <v>55924</v>
      </c>
      <c r="AB51" s="412">
        <v>53044</v>
      </c>
      <c r="AC51" s="412">
        <v>50074</v>
      </c>
      <c r="AD51" s="412">
        <v>46999</v>
      </c>
      <c r="AE51" s="412">
        <v>43864</v>
      </c>
      <c r="AF51" s="412">
        <v>40602</v>
      </c>
      <c r="AG51" s="412">
        <v>37062</v>
      </c>
      <c r="AH51" s="412">
        <v>33340</v>
      </c>
      <c r="AI51" s="412">
        <v>29554</v>
      </c>
      <c r="AJ51" s="412">
        <v>25561</v>
      </c>
      <c r="AK51" s="412">
        <v>21280</v>
      </c>
      <c r="AL51" s="412">
        <v>16818</v>
      </c>
      <c r="AM51" s="412">
        <v>12215</v>
      </c>
      <c r="AN51" s="412">
        <v>7473</v>
      </c>
      <c r="AO51" s="412">
        <v>2538</v>
      </c>
      <c r="AP51" s="412"/>
      <c r="AQ51" s="412"/>
      <c r="AR51" s="412"/>
      <c r="AS51" s="412"/>
      <c r="AT51" s="412"/>
      <c r="AU51" s="412"/>
      <c r="AV51" s="1051"/>
    </row>
    <row r="52" spans="1:48" s="411" customFormat="1" x14ac:dyDescent="0.25">
      <c r="A52" s="920">
        <v>5950</v>
      </c>
      <c r="B52" s="811" t="s">
        <v>1339</v>
      </c>
      <c r="C52" s="809"/>
      <c r="D52" s="809"/>
      <c r="E52" s="809"/>
      <c r="F52" s="809"/>
      <c r="G52" s="809"/>
      <c r="H52" s="809"/>
      <c r="I52" s="809"/>
      <c r="J52" s="809"/>
      <c r="K52" s="412">
        <v>188107</v>
      </c>
      <c r="L52" s="809">
        <v>188106.75</v>
      </c>
      <c r="M52" s="412">
        <v>176769</v>
      </c>
      <c r="N52" s="809">
        <v>88384.38</v>
      </c>
      <c r="O52" s="412">
        <f t="shared" si="4"/>
        <v>169519</v>
      </c>
      <c r="P52" s="412"/>
      <c r="Q52" s="412"/>
      <c r="R52" s="412">
        <v>188107</v>
      </c>
      <c r="S52" s="412">
        <v>176769</v>
      </c>
      <c r="T52" s="412">
        <v>169519</v>
      </c>
      <c r="U52" s="412">
        <v>161769</v>
      </c>
      <c r="V52" s="412">
        <v>153769</v>
      </c>
      <c r="W52" s="412">
        <v>145269</v>
      </c>
      <c r="X52" s="412">
        <v>136269</v>
      </c>
      <c r="Y52" s="412">
        <v>126769</v>
      </c>
      <c r="Z52" s="412">
        <v>116769</v>
      </c>
      <c r="AA52" s="412">
        <v>106519</v>
      </c>
      <c r="AB52" s="412">
        <v>95519</v>
      </c>
      <c r="AC52" s="412">
        <v>90919</v>
      </c>
      <c r="AD52" s="412">
        <v>86219</v>
      </c>
      <c r="AE52" s="412">
        <v>81419</v>
      </c>
      <c r="AF52" s="412">
        <v>76213</v>
      </c>
      <c r="AG52" s="412">
        <v>70900</v>
      </c>
      <c r="AH52" s="412">
        <v>65163</v>
      </c>
      <c r="AI52" s="412">
        <v>58988</v>
      </c>
      <c r="AJ52" s="412">
        <v>52694</v>
      </c>
      <c r="AK52" s="412">
        <v>46282</v>
      </c>
      <c r="AL52" s="412">
        <v>39282</v>
      </c>
      <c r="AM52" s="412">
        <v>32157</v>
      </c>
      <c r="AN52" s="412">
        <v>24544</v>
      </c>
      <c r="AO52" s="412">
        <v>16669</v>
      </c>
      <c r="AP52" s="412">
        <v>8663</v>
      </c>
      <c r="AQ52" s="412"/>
      <c r="AR52" s="412"/>
      <c r="AS52" s="412"/>
      <c r="AT52" s="412"/>
      <c r="AU52" s="412"/>
      <c r="AV52" s="1051"/>
    </row>
    <row r="53" spans="1:48" s="411" customFormat="1" x14ac:dyDescent="0.25">
      <c r="A53" s="920">
        <v>5951</v>
      </c>
      <c r="B53" s="811" t="s">
        <v>1659</v>
      </c>
      <c r="C53" s="809"/>
      <c r="D53" s="809"/>
      <c r="E53" s="809"/>
      <c r="F53" s="809"/>
      <c r="G53" s="809"/>
      <c r="H53" s="809"/>
      <c r="I53" s="809"/>
      <c r="J53" s="809"/>
      <c r="K53" s="412"/>
      <c r="L53" s="809"/>
      <c r="M53" s="412"/>
      <c r="N53" s="809"/>
      <c r="O53" s="412">
        <f>+T53</f>
        <v>62541.67</v>
      </c>
      <c r="P53" s="412"/>
      <c r="Q53" s="412"/>
      <c r="R53" s="412"/>
      <c r="S53" s="412"/>
      <c r="T53" s="412">
        <v>62541.67</v>
      </c>
      <c r="U53" s="412">
        <v>40650</v>
      </c>
      <c r="V53" s="412">
        <v>38025</v>
      </c>
      <c r="W53" s="412">
        <v>35150</v>
      </c>
      <c r="X53" s="412">
        <v>32150</v>
      </c>
      <c r="Y53" s="412">
        <v>29025</v>
      </c>
      <c r="Z53" s="412">
        <v>25775</v>
      </c>
      <c r="AA53" s="412">
        <v>22400</v>
      </c>
      <c r="AB53" s="412">
        <v>18775</v>
      </c>
      <c r="AC53" s="412">
        <v>15300</v>
      </c>
      <c r="AD53" s="412">
        <v>12900</v>
      </c>
      <c r="AE53" s="412">
        <v>11300</v>
      </c>
      <c r="AF53" s="412">
        <v>9650</v>
      </c>
      <c r="AG53" s="412">
        <v>7950</v>
      </c>
      <c r="AH53" s="412">
        <v>6250</v>
      </c>
      <c r="AI53" s="412">
        <v>4500</v>
      </c>
      <c r="AJ53" s="412">
        <v>2700</v>
      </c>
      <c r="AK53" s="412">
        <v>900</v>
      </c>
      <c r="AL53" s="412"/>
      <c r="AM53" s="412"/>
      <c r="AN53" s="412"/>
      <c r="AO53" s="412"/>
      <c r="AP53" s="412"/>
      <c r="AQ53" s="412"/>
      <c r="AR53" s="412"/>
      <c r="AS53" s="412"/>
      <c r="AT53" s="412"/>
      <c r="AU53" s="412"/>
      <c r="AV53" s="1051">
        <f>SUM(T53:AU53)</f>
        <v>375941.67</v>
      </c>
    </row>
    <row r="54" spans="1:48" s="120" customFormat="1" x14ac:dyDescent="0.25">
      <c r="A54" s="937">
        <v>5952</v>
      </c>
      <c r="B54" s="256" t="s">
        <v>1660</v>
      </c>
      <c r="C54" s="233"/>
      <c r="D54" s="233"/>
      <c r="E54" s="233"/>
      <c r="F54" s="233"/>
      <c r="G54" s="233"/>
      <c r="H54" s="233"/>
      <c r="I54" s="233"/>
      <c r="J54" s="233"/>
      <c r="K54" s="125"/>
      <c r="L54" s="233"/>
      <c r="M54" s="125"/>
      <c r="N54" s="233"/>
      <c r="O54" s="125">
        <f>+T54</f>
        <v>12704.58</v>
      </c>
      <c r="P54" s="125"/>
      <c r="Q54" s="125"/>
      <c r="R54" s="125"/>
      <c r="S54" s="125"/>
      <c r="T54" s="125">
        <v>12704.58</v>
      </c>
      <c r="U54" s="125">
        <v>8010</v>
      </c>
      <c r="V54" s="125">
        <v>7270</v>
      </c>
      <c r="W54" s="125">
        <v>6510</v>
      </c>
      <c r="X54" s="125">
        <v>5730</v>
      </c>
      <c r="Y54" s="125">
        <v>4910</v>
      </c>
      <c r="Z54" s="125">
        <v>4050</v>
      </c>
      <c r="AA54" s="125">
        <v>3150</v>
      </c>
      <c r="AB54" s="125">
        <v>2454.25</v>
      </c>
      <c r="AC54" s="125">
        <v>1960.5</v>
      </c>
      <c r="AD54" s="125">
        <v>1432.5</v>
      </c>
      <c r="AE54" s="125">
        <v>875</v>
      </c>
      <c r="AF54" s="125">
        <v>293.75</v>
      </c>
      <c r="AG54" s="125"/>
      <c r="AH54" s="125"/>
      <c r="AI54" s="125"/>
      <c r="AJ54" s="125"/>
      <c r="AK54" s="125"/>
      <c r="AL54" s="125"/>
      <c r="AM54" s="125"/>
      <c r="AN54" s="125"/>
      <c r="AO54" s="125"/>
      <c r="AP54" s="125"/>
      <c r="AQ54" s="125"/>
      <c r="AR54" s="125"/>
      <c r="AS54" s="125"/>
      <c r="AT54" s="125"/>
      <c r="AU54" s="125"/>
      <c r="AV54" s="1051">
        <f>SUM(T54:AU54)</f>
        <v>59350.58</v>
      </c>
    </row>
    <row r="55" spans="1:48" ht="13.8" thickBot="1" x14ac:dyDescent="0.3">
      <c r="A55" s="908"/>
      <c r="B55" s="29"/>
      <c r="C55" s="15"/>
      <c r="D55" s="15"/>
      <c r="E55" s="15"/>
      <c r="F55" s="15"/>
      <c r="G55" s="15"/>
      <c r="H55" s="15"/>
      <c r="I55" s="15"/>
      <c r="J55" s="15"/>
      <c r="K55" s="16"/>
      <c r="L55" s="15"/>
      <c r="M55" s="16"/>
      <c r="N55" s="15"/>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row>
    <row r="56" spans="1:48" x14ac:dyDescent="0.25">
      <c r="A56" s="881"/>
      <c r="B56" s="17" t="s">
        <v>229</v>
      </c>
      <c r="C56" s="18">
        <f t="shared" ref="C56:N56" si="5">SUM(C33:C55)</f>
        <v>266349.98</v>
      </c>
      <c r="D56" s="18">
        <f t="shared" si="5"/>
        <v>259362.63999999998</v>
      </c>
      <c r="E56" s="18">
        <f t="shared" si="5"/>
        <v>253585.74</v>
      </c>
      <c r="F56" s="18">
        <f>SUM(F34:F55)</f>
        <v>240542.22</v>
      </c>
      <c r="G56" s="18">
        <f>SUM(G34:G55)</f>
        <v>226585.27</v>
      </c>
      <c r="H56" s="18">
        <f>SUM(H34:H55)</f>
        <v>211686.38</v>
      </c>
      <c r="I56" s="18">
        <f t="shared" si="5"/>
        <v>196012.94000000003</v>
      </c>
      <c r="J56" s="18">
        <f t="shared" si="5"/>
        <v>330388.47000000003</v>
      </c>
      <c r="K56" s="19">
        <f>SUM(K33:K55)</f>
        <v>467524</v>
      </c>
      <c r="L56" s="18">
        <f t="shared" ref="L56:M56" si="6">SUM(L33:L55)</f>
        <v>467520.67</v>
      </c>
      <c r="M56" s="19">
        <f t="shared" si="6"/>
        <v>432645</v>
      </c>
      <c r="N56" s="18">
        <f t="shared" si="5"/>
        <v>224922.22</v>
      </c>
      <c r="O56" s="19">
        <f>SUM(O33:O55)</f>
        <v>479674.25</v>
      </c>
      <c r="P56" s="19">
        <f>SUM(P33:P55)</f>
        <v>0</v>
      </c>
      <c r="Q56" s="19"/>
      <c r="R56" s="19">
        <f t="shared" ref="R56:AU56" si="7">SUM(R33:R55)</f>
        <v>467524</v>
      </c>
      <c r="S56" s="19">
        <f t="shared" si="7"/>
        <v>432645</v>
      </c>
      <c r="T56" s="19">
        <f t="shared" si="7"/>
        <v>479673.25</v>
      </c>
      <c r="U56" s="19">
        <f t="shared" si="7"/>
        <v>423577</v>
      </c>
      <c r="V56" s="19">
        <f t="shared" si="7"/>
        <v>390548</v>
      </c>
      <c r="W56" s="19">
        <f t="shared" si="7"/>
        <v>357185</v>
      </c>
      <c r="X56" s="19">
        <f t="shared" si="7"/>
        <v>320971</v>
      </c>
      <c r="Y56" s="19">
        <f t="shared" si="7"/>
        <v>283290</v>
      </c>
      <c r="Z56" s="19">
        <f t="shared" si="7"/>
        <v>245636</v>
      </c>
      <c r="AA56" s="19">
        <f t="shared" si="7"/>
        <v>224866</v>
      </c>
      <c r="AB56" s="19">
        <f t="shared" si="7"/>
        <v>203169.25</v>
      </c>
      <c r="AC56" s="19">
        <f t="shared" si="7"/>
        <v>188615.5</v>
      </c>
      <c r="AD56" s="19">
        <f t="shared" si="7"/>
        <v>175063.5</v>
      </c>
      <c r="AE56" s="19">
        <f t="shared" si="7"/>
        <v>162129</v>
      </c>
      <c r="AF56" s="19">
        <f t="shared" si="7"/>
        <v>148605.75</v>
      </c>
      <c r="AG56" s="19">
        <f t="shared" si="7"/>
        <v>135008</v>
      </c>
      <c r="AH56" s="19">
        <f t="shared" si="7"/>
        <v>120968</v>
      </c>
      <c r="AI56" s="19">
        <f t="shared" si="7"/>
        <v>106283</v>
      </c>
      <c r="AJ56" s="19">
        <f t="shared" si="7"/>
        <v>91523</v>
      </c>
      <c r="AK56" s="19">
        <f t="shared" si="7"/>
        <v>77407</v>
      </c>
      <c r="AL56" s="19">
        <f t="shared" si="7"/>
        <v>64054</v>
      </c>
      <c r="AM56" s="19">
        <f t="shared" si="7"/>
        <v>51310</v>
      </c>
      <c r="AN56" s="19">
        <f t="shared" si="7"/>
        <v>37894</v>
      </c>
      <c r="AO56" s="19">
        <f t="shared" si="7"/>
        <v>23944</v>
      </c>
      <c r="AP56" s="19">
        <f t="shared" si="7"/>
        <v>12232</v>
      </c>
      <c r="AQ56" s="19">
        <f t="shared" si="7"/>
        <v>1150</v>
      </c>
      <c r="AR56" s="19">
        <f t="shared" si="7"/>
        <v>1597</v>
      </c>
      <c r="AS56" s="19">
        <f t="shared" si="7"/>
        <v>812</v>
      </c>
      <c r="AT56" s="19">
        <f t="shared" si="7"/>
        <v>0</v>
      </c>
      <c r="AU56" s="19">
        <f t="shared" si="7"/>
        <v>0</v>
      </c>
    </row>
    <row r="57" spans="1:48" x14ac:dyDescent="0.25">
      <c r="A57" s="881"/>
      <c r="B57" s="12"/>
      <c r="C57" s="13"/>
      <c r="D57" s="13"/>
      <c r="E57" s="13"/>
      <c r="F57" s="13"/>
      <c r="G57" s="13"/>
      <c r="H57" s="13"/>
      <c r="I57" s="13"/>
      <c r="J57" s="13"/>
      <c r="K57" s="14"/>
      <c r="L57" s="13"/>
      <c r="M57" s="14"/>
      <c r="N57" s="13"/>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row>
    <row r="58" spans="1:48" hidden="1" x14ac:dyDescent="0.25">
      <c r="A58" s="881" t="s">
        <v>606</v>
      </c>
      <c r="B58" s="12" t="s">
        <v>35</v>
      </c>
      <c r="C58" s="37">
        <v>602.20000000000005</v>
      </c>
      <c r="D58" s="37">
        <v>547.45000000000005</v>
      </c>
      <c r="E58" s="37"/>
      <c r="F58" s="37"/>
      <c r="G58" s="37"/>
      <c r="H58" s="37"/>
      <c r="I58" s="233"/>
      <c r="J58" s="233"/>
      <c r="K58" s="125"/>
      <c r="L58" s="233"/>
      <c r="M58" s="125"/>
      <c r="N58" s="37">
        <v>0</v>
      </c>
      <c r="O58" s="125"/>
      <c r="P58" s="125"/>
      <c r="Q58" s="125"/>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row>
    <row r="59" spans="1:48" x14ac:dyDescent="0.25">
      <c r="A59" s="881" t="s">
        <v>1220</v>
      </c>
      <c r="B59" s="12" t="s">
        <v>1219</v>
      </c>
      <c r="C59" s="37"/>
      <c r="D59" s="37"/>
      <c r="E59" s="37"/>
      <c r="F59" s="37"/>
      <c r="G59" s="37"/>
      <c r="H59" s="37"/>
      <c r="I59" s="233"/>
      <c r="J59" s="233"/>
      <c r="K59" s="125">
        <v>60000</v>
      </c>
      <c r="L59" s="233"/>
      <c r="M59" s="125">
        <v>18100</v>
      </c>
      <c r="N59" s="37">
        <v>19182.54</v>
      </c>
      <c r="O59" s="125">
        <f t="shared" ref="O59" si="8">+T59</f>
        <v>0</v>
      </c>
      <c r="P59" s="125"/>
      <c r="Q59" s="125"/>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row>
    <row r="60" spans="1:48" ht="13.8" thickBot="1" x14ac:dyDescent="0.3">
      <c r="A60" s="881" t="s">
        <v>230</v>
      </c>
      <c r="B60" s="12" t="s">
        <v>231</v>
      </c>
      <c r="C60" s="37">
        <v>5065.4399999999996</v>
      </c>
      <c r="D60" s="37">
        <v>5388.35</v>
      </c>
      <c r="E60" s="37">
        <v>3399.08</v>
      </c>
      <c r="F60" s="37">
        <v>4461.7700000000004</v>
      </c>
      <c r="G60" s="37">
        <v>10940.62</v>
      </c>
      <c r="H60" s="37">
        <v>11476.39</v>
      </c>
      <c r="I60" s="233">
        <v>18676.84</v>
      </c>
      <c r="J60" s="233">
        <v>15664.11</v>
      </c>
      <c r="K60" s="125">
        <v>20000</v>
      </c>
      <c r="L60" s="233">
        <v>9702.6</v>
      </c>
      <c r="M60" s="125">
        <v>20000</v>
      </c>
      <c r="N60" s="37">
        <v>3492.47</v>
      </c>
      <c r="O60" s="125">
        <v>20000</v>
      </c>
      <c r="P60" s="125"/>
      <c r="Q60" s="125"/>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row>
    <row r="61" spans="1:48" x14ac:dyDescent="0.25">
      <c r="A61" s="881"/>
      <c r="B61" s="17" t="s">
        <v>232</v>
      </c>
      <c r="C61" s="32">
        <f t="shared" ref="C61:N61" si="9">SUM(C58:C60)</f>
        <v>5667.6399999999994</v>
      </c>
      <c r="D61" s="32">
        <f t="shared" si="9"/>
        <v>5935.8</v>
      </c>
      <c r="E61" s="32">
        <f t="shared" si="9"/>
        <v>3399.08</v>
      </c>
      <c r="F61" s="32">
        <f>SUM(F58:F60)</f>
        <v>4461.7700000000004</v>
      </c>
      <c r="G61" s="32">
        <f>SUM(G58:G60)</f>
        <v>10940.62</v>
      </c>
      <c r="H61" s="32">
        <f>SUM(H58:H60)</f>
        <v>11476.39</v>
      </c>
      <c r="I61" s="32">
        <f>SUM(I58:I60)</f>
        <v>18676.84</v>
      </c>
      <c r="J61" s="32">
        <f>SUM(J58:J60)</f>
        <v>15664.11</v>
      </c>
      <c r="K61" s="187">
        <f t="shared" ref="K61:M61" si="10">SUM(K58:K60)</f>
        <v>80000</v>
      </c>
      <c r="L61" s="32">
        <f t="shared" si="10"/>
        <v>9702.6</v>
      </c>
      <c r="M61" s="187">
        <f t="shared" si="10"/>
        <v>38100</v>
      </c>
      <c r="N61" s="32">
        <f t="shared" si="9"/>
        <v>22675.010000000002</v>
      </c>
      <c r="O61" s="187">
        <f t="shared" ref="O61" si="11">SUM(O58:O60)</f>
        <v>20000</v>
      </c>
      <c r="P61" s="187">
        <f>SUM(P58:P60)</f>
        <v>0</v>
      </c>
      <c r="Q61" s="187"/>
      <c r="R61" s="187">
        <f t="shared" ref="R61:AU61" si="12">SUM(R58:R60)</f>
        <v>0</v>
      </c>
      <c r="S61" s="187">
        <f t="shared" si="12"/>
        <v>0</v>
      </c>
      <c r="T61" s="187">
        <f t="shared" si="12"/>
        <v>0</v>
      </c>
      <c r="U61" s="187">
        <f t="shared" si="12"/>
        <v>0</v>
      </c>
      <c r="V61" s="187">
        <f t="shared" si="12"/>
        <v>0</v>
      </c>
      <c r="W61" s="187">
        <f t="shared" si="12"/>
        <v>0</v>
      </c>
      <c r="X61" s="187">
        <f t="shared" si="12"/>
        <v>0</v>
      </c>
      <c r="Y61" s="187">
        <f t="shared" si="12"/>
        <v>0</v>
      </c>
      <c r="Z61" s="187">
        <f t="shared" si="12"/>
        <v>0</v>
      </c>
      <c r="AA61" s="187">
        <f t="shared" si="12"/>
        <v>0</v>
      </c>
      <c r="AB61" s="187">
        <f t="shared" si="12"/>
        <v>0</v>
      </c>
      <c r="AC61" s="187">
        <f t="shared" si="12"/>
        <v>0</v>
      </c>
      <c r="AD61" s="187">
        <f t="shared" si="12"/>
        <v>0</v>
      </c>
      <c r="AE61" s="187">
        <f t="shared" si="12"/>
        <v>0</v>
      </c>
      <c r="AF61" s="187">
        <f t="shared" si="12"/>
        <v>0</v>
      </c>
      <c r="AG61" s="187">
        <f t="shared" si="12"/>
        <v>0</v>
      </c>
      <c r="AH61" s="187">
        <f t="shared" si="12"/>
        <v>0</v>
      </c>
      <c r="AI61" s="187">
        <f t="shared" si="12"/>
        <v>0</v>
      </c>
      <c r="AJ61" s="187">
        <f t="shared" si="12"/>
        <v>0</v>
      </c>
      <c r="AK61" s="187">
        <f t="shared" si="12"/>
        <v>0</v>
      </c>
      <c r="AL61" s="187">
        <f t="shared" si="12"/>
        <v>0</v>
      </c>
      <c r="AM61" s="187">
        <f t="shared" si="12"/>
        <v>0</v>
      </c>
      <c r="AN61" s="187">
        <f t="shared" si="12"/>
        <v>0</v>
      </c>
      <c r="AO61" s="187">
        <f t="shared" si="12"/>
        <v>0</v>
      </c>
      <c r="AP61" s="187">
        <f t="shared" si="12"/>
        <v>0</v>
      </c>
      <c r="AQ61" s="187">
        <f t="shared" si="12"/>
        <v>0</v>
      </c>
      <c r="AR61" s="187">
        <f t="shared" si="12"/>
        <v>0</v>
      </c>
      <c r="AS61" s="187">
        <f t="shared" si="12"/>
        <v>0</v>
      </c>
      <c r="AT61" s="187">
        <f t="shared" si="12"/>
        <v>0</v>
      </c>
      <c r="AU61" s="187">
        <f t="shared" si="12"/>
        <v>0</v>
      </c>
    </row>
    <row r="62" spans="1:48" x14ac:dyDescent="0.25">
      <c r="A62" s="881"/>
      <c r="B62" s="12"/>
      <c r="C62" s="13"/>
      <c r="D62" s="13"/>
      <c r="E62" s="13"/>
      <c r="F62" s="13"/>
      <c r="G62" s="13"/>
      <c r="H62" s="13"/>
      <c r="I62" s="13"/>
      <c r="J62" s="13"/>
      <c r="K62" s="14"/>
      <c r="L62" s="13"/>
      <c r="M62" s="14"/>
      <c r="N62" s="13"/>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row>
    <row r="63" spans="1:48" x14ac:dyDescent="0.25">
      <c r="A63" s="881"/>
      <c r="B63" s="12"/>
      <c r="C63" s="13"/>
      <c r="D63" s="13"/>
      <c r="E63" s="13"/>
      <c r="F63" s="13"/>
      <c r="G63" s="13"/>
      <c r="H63" s="13"/>
      <c r="I63" s="13"/>
      <c r="J63" s="13"/>
      <c r="K63" s="14"/>
      <c r="L63" s="13"/>
      <c r="M63" s="14"/>
      <c r="N63" s="13"/>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row>
    <row r="64" spans="1:48" ht="13.8" thickBot="1" x14ac:dyDescent="0.3">
      <c r="A64" s="882"/>
      <c r="B64" s="20" t="s">
        <v>465</v>
      </c>
      <c r="C64" s="21">
        <f>+C61+C56+C31</f>
        <v>624059.19999999995</v>
      </c>
      <c r="D64" s="21">
        <f>+D31+D56+D61</f>
        <v>627106.03000000014</v>
      </c>
      <c r="E64" s="21">
        <f>+E31+E56+E61</f>
        <v>653275.82999999996</v>
      </c>
      <c r="F64" s="21">
        <f>+F61+F56+F31</f>
        <v>651031.29</v>
      </c>
      <c r="G64" s="21">
        <f>+G61+G56+G31</f>
        <v>655052.56000000006</v>
      </c>
      <c r="H64" s="21">
        <f>+H61+H56+H31</f>
        <v>630911.34</v>
      </c>
      <c r="I64" s="21">
        <f>+I31+I56+I61</f>
        <v>625348.28</v>
      </c>
      <c r="J64" s="21">
        <f>+J31+J56+J61</f>
        <v>824346.28999999992</v>
      </c>
      <c r="K64" s="22">
        <f>+K31+K56+K61</f>
        <v>1128500</v>
      </c>
      <c r="L64" s="21">
        <f t="shared" ref="L64:M64" si="13">+L31+L56+L61</f>
        <v>1057873.57</v>
      </c>
      <c r="M64" s="22">
        <f t="shared" si="13"/>
        <v>1066809</v>
      </c>
      <c r="N64" s="21">
        <f>+N61+N56+N31</f>
        <v>422535.99</v>
      </c>
      <c r="O64" s="22">
        <f>+O31+O56+O61</f>
        <v>1162189.25</v>
      </c>
      <c r="P64" s="22">
        <f>+O64</f>
        <v>1162189.25</v>
      </c>
      <c r="Q64" s="22"/>
      <c r="R64" s="22">
        <f t="shared" ref="R64:AU64" si="14">+R61+R56+R31</f>
        <v>1048500</v>
      </c>
      <c r="S64" s="22">
        <f t="shared" si="14"/>
        <v>1028709</v>
      </c>
      <c r="T64" s="22">
        <f t="shared" si="14"/>
        <v>1142188.25</v>
      </c>
      <c r="U64" s="22">
        <f t="shared" si="14"/>
        <v>1142582</v>
      </c>
      <c r="V64" s="22">
        <f t="shared" si="14"/>
        <v>1147080</v>
      </c>
      <c r="W64" s="22">
        <f t="shared" si="14"/>
        <v>1148288</v>
      </c>
      <c r="X64" s="22">
        <f t="shared" si="14"/>
        <v>1143685</v>
      </c>
      <c r="Y64" s="22">
        <f t="shared" si="14"/>
        <v>1109151</v>
      </c>
      <c r="Z64" s="22">
        <f t="shared" si="14"/>
        <v>736721</v>
      </c>
      <c r="AA64" s="22">
        <f t="shared" si="14"/>
        <v>741211</v>
      </c>
      <c r="AB64" s="22">
        <f t="shared" si="14"/>
        <v>740812.25</v>
      </c>
      <c r="AC64" s="22">
        <f t="shared" si="14"/>
        <v>727594.5</v>
      </c>
      <c r="AD64" s="22">
        <f t="shared" si="14"/>
        <v>724417.5</v>
      </c>
      <c r="AE64" s="22">
        <f t="shared" si="14"/>
        <v>712561</v>
      </c>
      <c r="AF64" s="22">
        <f t="shared" si="14"/>
        <v>709287.75</v>
      </c>
      <c r="AG64" s="22">
        <f t="shared" si="14"/>
        <v>684979</v>
      </c>
      <c r="AH64" s="22">
        <f t="shared" si="14"/>
        <v>679267</v>
      </c>
      <c r="AI64" s="22">
        <f t="shared" si="14"/>
        <v>681951</v>
      </c>
      <c r="AJ64" s="22">
        <f t="shared" si="14"/>
        <v>644290</v>
      </c>
      <c r="AK64" s="22">
        <f t="shared" si="14"/>
        <v>603742</v>
      </c>
      <c r="AL64" s="22">
        <f t="shared" si="14"/>
        <v>508981</v>
      </c>
      <c r="AM64" s="22">
        <f t="shared" si="14"/>
        <v>506852</v>
      </c>
      <c r="AN64" s="22">
        <f t="shared" si="14"/>
        <v>509078</v>
      </c>
      <c r="AO64" s="22">
        <f t="shared" si="14"/>
        <v>508795</v>
      </c>
      <c r="AP64" s="22">
        <f t="shared" si="14"/>
        <v>362778</v>
      </c>
      <c r="AQ64" s="22">
        <f t="shared" si="14"/>
        <v>19420</v>
      </c>
      <c r="AR64" s="22">
        <f t="shared" si="14"/>
        <v>20621</v>
      </c>
      <c r="AS64" s="22">
        <f t="shared" si="14"/>
        <v>20497</v>
      </c>
      <c r="AT64" s="22">
        <f t="shared" si="14"/>
        <v>0</v>
      </c>
      <c r="AU64" s="22">
        <f t="shared" si="14"/>
        <v>0</v>
      </c>
    </row>
    <row r="65" spans="1:17" ht="13.8" thickTop="1" x14ac:dyDescent="0.25">
      <c r="A65" s="876"/>
      <c r="B65" s="4"/>
      <c r="C65" s="23"/>
      <c r="D65" s="23"/>
      <c r="E65" s="23"/>
      <c r="F65" s="23"/>
      <c r="G65" s="23"/>
      <c r="H65" s="23"/>
      <c r="I65" s="23"/>
      <c r="J65" s="23"/>
      <c r="K65" s="23"/>
      <c r="L65" s="23"/>
      <c r="M65" s="23"/>
      <c r="N65" s="27"/>
      <c r="O65" s="23"/>
      <c r="P65" s="23"/>
      <c r="Q65" s="23"/>
    </row>
    <row r="66" spans="1:17" x14ac:dyDescent="0.25">
      <c r="A66" s="905"/>
      <c r="B66" s="4"/>
      <c r="C66" s="23"/>
      <c r="D66" s="23"/>
      <c r="E66" s="23"/>
      <c r="F66" s="23"/>
      <c r="G66" s="23"/>
      <c r="H66" s="23"/>
      <c r="I66" s="23"/>
      <c r="J66" s="23"/>
      <c r="K66" s="23"/>
      <c r="L66" s="23"/>
      <c r="M66" s="23"/>
      <c r="N66" s="27"/>
      <c r="O66" s="325">
        <f>+O64-K64</f>
        <v>33689.25</v>
      </c>
      <c r="P66" s="744">
        <f>ROUND((+O66/K64),4)</f>
        <v>2.9899999999999999E-2</v>
      </c>
      <c r="Q66" s="744"/>
    </row>
    <row r="67" spans="1:17" x14ac:dyDescent="0.25">
      <c r="A67" s="876"/>
      <c r="B67" s="4"/>
      <c r="C67" s="23"/>
      <c r="D67" s="23"/>
      <c r="E67" s="23"/>
      <c r="F67" s="23"/>
      <c r="G67" s="23"/>
      <c r="H67" s="23"/>
      <c r="I67" s="23"/>
      <c r="J67" s="23"/>
      <c r="K67" s="23"/>
      <c r="L67" s="23"/>
      <c r="M67" s="23"/>
      <c r="N67" s="27"/>
      <c r="O67" s="23"/>
      <c r="P67" s="23"/>
      <c r="Q67" s="23"/>
    </row>
    <row r="68" spans="1:17" x14ac:dyDescent="0.25">
      <c r="A68" s="876"/>
      <c r="B68" s="4"/>
      <c r="C68" s="23"/>
      <c r="D68" s="23"/>
      <c r="E68" s="23"/>
      <c r="F68" s="23"/>
      <c r="G68" s="23"/>
      <c r="H68" s="23"/>
      <c r="I68" s="23"/>
      <c r="J68" s="23"/>
      <c r="K68" s="23"/>
      <c r="L68" s="23"/>
      <c r="M68" s="23"/>
      <c r="N68" s="4"/>
      <c r="P68" s="23"/>
      <c r="Q68" s="23"/>
    </row>
    <row r="69" spans="1:17" x14ac:dyDescent="0.25">
      <c r="A69" s="876"/>
      <c r="B69" s="4"/>
      <c r="C69" s="23"/>
      <c r="D69" s="23"/>
      <c r="E69" s="23"/>
      <c r="F69" s="23"/>
      <c r="G69" s="23"/>
      <c r="H69" s="23"/>
      <c r="I69" s="23"/>
      <c r="J69" s="23"/>
      <c r="K69" s="23"/>
      <c r="L69" s="23"/>
      <c r="M69" s="23"/>
      <c r="N69" s="4"/>
      <c r="O69" s="753"/>
      <c r="P69" s="23"/>
      <c r="Q69" s="23"/>
    </row>
    <row r="70" spans="1:17" x14ac:dyDescent="0.25">
      <c r="A70" s="876"/>
      <c r="B70" s="4"/>
      <c r="C70" s="23"/>
      <c r="D70" s="23"/>
      <c r="E70" s="23"/>
      <c r="F70" s="23"/>
      <c r="G70" s="23"/>
      <c r="H70" s="23"/>
      <c r="I70" s="23"/>
      <c r="J70" s="23"/>
      <c r="K70" s="23"/>
      <c r="L70" s="23"/>
      <c r="M70" s="23"/>
      <c r="N70" s="4"/>
      <c r="O70" s="754"/>
      <c r="P70" s="23"/>
      <c r="Q70" s="23"/>
    </row>
    <row r="71" spans="1:17" x14ac:dyDescent="0.25">
      <c r="A71" s="876"/>
      <c r="B71" s="4"/>
      <c r="C71" s="23"/>
      <c r="D71" s="23"/>
      <c r="E71" s="23"/>
      <c r="F71" s="23"/>
      <c r="G71" s="23"/>
      <c r="H71" s="23"/>
      <c r="I71" s="23"/>
      <c r="J71" s="23"/>
      <c r="K71" s="23"/>
      <c r="L71" s="23"/>
      <c r="M71" s="23"/>
      <c r="N71" s="4"/>
      <c r="O71" s="23"/>
      <c r="P71" s="23"/>
      <c r="Q71" s="23"/>
    </row>
    <row r="72" spans="1:17" x14ac:dyDescent="0.25">
      <c r="A72" s="876"/>
      <c r="B72" s="4"/>
      <c r="C72" s="23"/>
      <c r="D72" s="23"/>
      <c r="E72" s="23"/>
      <c r="F72" s="23"/>
      <c r="G72" s="23"/>
      <c r="H72" s="23"/>
      <c r="I72" s="23"/>
      <c r="J72" s="23"/>
      <c r="K72" s="23"/>
      <c r="L72" s="23"/>
      <c r="M72" s="23"/>
      <c r="N72" s="4"/>
      <c r="O72" s="23"/>
      <c r="P72" s="23"/>
      <c r="Q72" s="23"/>
    </row>
    <row r="73" spans="1:17" x14ac:dyDescent="0.25">
      <c r="A73" s="876"/>
      <c r="B73" s="4"/>
      <c r="C73" s="23"/>
      <c r="D73" s="23"/>
      <c r="E73" s="23"/>
      <c r="F73" s="23"/>
      <c r="G73" s="23"/>
      <c r="H73" s="23"/>
      <c r="I73" s="23"/>
      <c r="J73" s="23"/>
      <c r="K73" s="23"/>
      <c r="L73" s="23"/>
      <c r="M73" s="23"/>
      <c r="N73" s="4"/>
      <c r="O73" s="23"/>
      <c r="P73" s="23"/>
      <c r="Q73" s="23"/>
    </row>
    <row r="74" spans="1:17" x14ac:dyDescent="0.25">
      <c r="A74" s="876"/>
      <c r="B74" s="4"/>
      <c r="C74" s="23"/>
      <c r="D74" s="23"/>
      <c r="E74" s="23"/>
      <c r="F74" s="23"/>
      <c r="G74" s="23"/>
      <c r="H74" s="23"/>
      <c r="I74" s="23"/>
      <c r="J74" s="23"/>
      <c r="K74" s="23"/>
      <c r="L74" s="23"/>
      <c r="M74" s="23"/>
      <c r="N74" s="4"/>
      <c r="O74" s="23"/>
      <c r="P74" s="23"/>
      <c r="Q74" s="23"/>
    </row>
    <row r="75" spans="1:17" x14ac:dyDescent="0.25">
      <c r="A75" s="876"/>
      <c r="B75" s="4"/>
      <c r="C75" s="23"/>
      <c r="D75" s="23"/>
      <c r="E75" s="23"/>
      <c r="F75" s="23"/>
      <c r="G75" s="23"/>
      <c r="H75" s="23"/>
      <c r="I75" s="23"/>
      <c r="J75" s="23"/>
      <c r="K75" s="23"/>
      <c r="L75" s="23"/>
      <c r="M75" s="23"/>
      <c r="N75" s="4"/>
      <c r="O75" s="812"/>
      <c r="P75" s="23"/>
      <c r="Q75" s="23"/>
    </row>
    <row r="76" spans="1:17" x14ac:dyDescent="0.25">
      <c r="A76" s="876"/>
      <c r="B76" s="4"/>
      <c r="C76" s="23"/>
      <c r="D76" s="23"/>
      <c r="E76" s="23"/>
      <c r="F76" s="23"/>
      <c r="G76" s="23"/>
      <c r="H76" s="23"/>
      <c r="I76" s="23"/>
      <c r="J76" s="23"/>
      <c r="K76" s="23"/>
      <c r="L76" s="23"/>
      <c r="M76" s="23"/>
      <c r="N76" s="4"/>
      <c r="O76" s="23"/>
      <c r="P76" s="23"/>
      <c r="Q76" s="23"/>
    </row>
    <row r="77" spans="1:17" x14ac:dyDescent="0.25">
      <c r="A77" s="876"/>
      <c r="B77" s="4"/>
      <c r="C77" s="23"/>
      <c r="D77" s="23"/>
      <c r="E77" s="23"/>
      <c r="F77" s="23"/>
      <c r="G77" s="23"/>
      <c r="H77" s="23"/>
      <c r="I77" s="23"/>
      <c r="J77" s="23"/>
      <c r="K77" s="23"/>
      <c r="L77" s="23"/>
      <c r="M77" s="23"/>
      <c r="N77" s="4"/>
      <c r="O77" s="23"/>
      <c r="P77" s="23"/>
      <c r="Q77" s="23"/>
    </row>
    <row r="78" spans="1:17" x14ac:dyDescent="0.25">
      <c r="A78" s="876"/>
      <c r="B78" s="4"/>
      <c r="C78" s="23"/>
      <c r="D78" s="23"/>
      <c r="E78" s="23"/>
      <c r="F78" s="23"/>
      <c r="G78" s="23"/>
      <c r="H78" s="23"/>
      <c r="I78" s="23"/>
      <c r="J78" s="23"/>
      <c r="K78" s="23"/>
      <c r="L78" s="23"/>
      <c r="M78" s="23"/>
      <c r="N78" s="4"/>
      <c r="O78" s="23"/>
      <c r="P78" s="23"/>
      <c r="Q78" s="23"/>
    </row>
    <row r="79" spans="1:17" x14ac:dyDescent="0.25">
      <c r="A79" s="876"/>
      <c r="B79" s="4"/>
      <c r="C79" s="23"/>
      <c r="D79" s="23"/>
      <c r="E79" s="23"/>
      <c r="F79" s="23"/>
      <c r="G79" s="23"/>
      <c r="H79" s="23"/>
      <c r="I79" s="23"/>
      <c r="J79" s="23"/>
      <c r="K79" s="23"/>
      <c r="L79" s="23"/>
      <c r="M79" s="23"/>
      <c r="N79" s="4"/>
      <c r="O79" s="812"/>
      <c r="P79" s="23"/>
      <c r="Q79" s="23"/>
    </row>
    <row r="80" spans="1:17" x14ac:dyDescent="0.25">
      <c r="A80" s="876"/>
      <c r="B80" s="4"/>
      <c r="C80" s="23"/>
      <c r="D80" s="23"/>
      <c r="E80" s="23"/>
      <c r="F80" s="23"/>
      <c r="G80" s="23"/>
      <c r="H80" s="23"/>
      <c r="I80" s="23"/>
      <c r="J80" s="23"/>
      <c r="K80" s="23"/>
      <c r="L80" s="23"/>
      <c r="M80" s="23"/>
      <c r="N80" s="4"/>
      <c r="O80" s="23"/>
      <c r="P80" s="23"/>
      <c r="Q80" s="23"/>
    </row>
    <row r="81" spans="1:17" x14ac:dyDescent="0.25">
      <c r="A81" s="876"/>
      <c r="B81" s="4"/>
      <c r="C81" s="23"/>
      <c r="D81" s="23"/>
      <c r="E81" s="23"/>
      <c r="F81" s="23"/>
      <c r="G81" s="23"/>
      <c r="H81" s="23"/>
      <c r="I81" s="23"/>
      <c r="J81" s="23"/>
      <c r="K81" s="23"/>
      <c r="L81" s="23"/>
      <c r="M81" s="23"/>
      <c r="N81" s="4"/>
      <c r="O81" s="23"/>
      <c r="P81" s="23"/>
      <c r="Q81" s="23"/>
    </row>
    <row r="82" spans="1:17" x14ac:dyDescent="0.25">
      <c r="A82" s="876"/>
      <c r="B82" s="4"/>
      <c r="C82" s="23"/>
      <c r="D82" s="23"/>
      <c r="E82" s="23"/>
      <c r="F82" s="23"/>
      <c r="G82" s="23"/>
      <c r="H82" s="23"/>
      <c r="I82" s="23"/>
      <c r="J82" s="23"/>
      <c r="K82" s="23"/>
      <c r="L82" s="23"/>
      <c r="M82" s="23"/>
      <c r="N82" s="4"/>
      <c r="O82" s="23"/>
      <c r="P82" s="23"/>
      <c r="Q82" s="23"/>
    </row>
    <row r="83" spans="1:17" x14ac:dyDescent="0.25">
      <c r="A83" s="876"/>
      <c r="B83" s="4"/>
      <c r="C83" s="23"/>
      <c r="D83" s="23"/>
      <c r="E83" s="23"/>
      <c r="F83" s="23"/>
      <c r="G83" s="23"/>
      <c r="H83" s="23"/>
      <c r="I83" s="23"/>
      <c r="J83" s="23"/>
      <c r="K83" s="23"/>
      <c r="L83" s="23"/>
      <c r="M83" s="23"/>
      <c r="N83" s="4"/>
      <c r="O83" s="23"/>
      <c r="P83" s="23"/>
      <c r="Q83" s="23"/>
    </row>
    <row r="84" spans="1:17" x14ac:dyDescent="0.25">
      <c r="A84" s="876"/>
      <c r="B84" s="4"/>
      <c r="C84" s="23"/>
      <c r="D84" s="23"/>
      <c r="E84" s="23"/>
      <c r="F84" s="23"/>
      <c r="G84" s="23"/>
      <c r="H84" s="23"/>
      <c r="I84" s="23"/>
      <c r="J84" s="23"/>
      <c r="K84" s="23"/>
      <c r="L84" s="23"/>
      <c r="M84" s="23"/>
      <c r="N84" s="4"/>
      <c r="O84" s="23"/>
      <c r="P84" s="23"/>
      <c r="Q84" s="23"/>
    </row>
    <row r="85" spans="1:17" x14ac:dyDescent="0.25">
      <c r="A85" s="876"/>
      <c r="B85" s="4"/>
      <c r="C85" s="23"/>
      <c r="D85" s="23"/>
      <c r="E85" s="23"/>
      <c r="F85" s="23"/>
      <c r="G85" s="23"/>
      <c r="H85" s="23"/>
      <c r="I85" s="23"/>
      <c r="J85" s="23"/>
      <c r="K85" s="23"/>
      <c r="L85" s="23"/>
      <c r="M85" s="23"/>
      <c r="N85" s="4"/>
      <c r="O85" s="23"/>
      <c r="P85" s="23"/>
      <c r="Q85" s="23"/>
    </row>
    <row r="86" spans="1:17" x14ac:dyDescent="0.25">
      <c r="A86" s="876"/>
      <c r="B86" s="4"/>
      <c r="C86" s="23"/>
      <c r="D86" s="23"/>
      <c r="E86" s="23"/>
      <c r="F86" s="23"/>
      <c r="G86" s="23"/>
      <c r="H86" s="23"/>
      <c r="I86" s="23"/>
      <c r="J86" s="23"/>
      <c r="K86" s="23"/>
      <c r="L86" s="23"/>
      <c r="M86" s="23"/>
      <c r="N86" s="4"/>
      <c r="O86" s="23"/>
      <c r="P86" s="23"/>
      <c r="Q86" s="23"/>
    </row>
    <row r="87" spans="1:17" x14ac:dyDescent="0.25">
      <c r="A87" s="876"/>
      <c r="B87" s="4"/>
      <c r="C87" s="23"/>
      <c r="D87" s="23"/>
      <c r="E87" s="23"/>
      <c r="F87" s="23"/>
      <c r="G87" s="23"/>
      <c r="H87" s="23"/>
      <c r="I87" s="23"/>
      <c r="J87" s="23"/>
      <c r="K87" s="23"/>
      <c r="L87" s="23"/>
      <c r="M87" s="23"/>
      <c r="N87" s="4"/>
      <c r="O87" s="23"/>
      <c r="P87" s="23"/>
      <c r="Q87" s="23"/>
    </row>
    <row r="88" spans="1:17" x14ac:dyDescent="0.25">
      <c r="A88" s="876"/>
      <c r="B88" s="4"/>
      <c r="C88" s="23"/>
      <c r="D88" s="23"/>
      <c r="E88" s="23"/>
      <c r="F88" s="23"/>
      <c r="G88" s="23"/>
      <c r="H88" s="23"/>
      <c r="I88" s="23"/>
      <c r="J88" s="23"/>
      <c r="K88" s="23"/>
      <c r="L88" s="23"/>
      <c r="M88" s="23"/>
      <c r="N88" s="4"/>
      <c r="O88" s="23"/>
      <c r="P88" s="23"/>
      <c r="Q88" s="23"/>
    </row>
    <row r="89" spans="1:17" x14ac:dyDescent="0.25">
      <c r="A89" s="876"/>
      <c r="B89" s="4"/>
      <c r="C89" s="23"/>
      <c r="D89" s="23"/>
      <c r="E89" s="23"/>
      <c r="F89" s="23"/>
      <c r="G89" s="23"/>
      <c r="H89" s="23"/>
      <c r="I89" s="23"/>
      <c r="J89" s="23"/>
      <c r="K89" s="23"/>
      <c r="L89" s="23"/>
      <c r="M89" s="23"/>
      <c r="N89" s="4"/>
      <c r="O89" s="23"/>
      <c r="P89" s="23"/>
      <c r="Q89" s="23"/>
    </row>
    <row r="90" spans="1:17" x14ac:dyDescent="0.25">
      <c r="A90" s="876"/>
      <c r="B90" s="4"/>
      <c r="C90" s="23"/>
      <c r="D90" s="23"/>
      <c r="E90" s="23"/>
      <c r="F90" s="23"/>
      <c r="G90" s="23"/>
      <c r="H90" s="23"/>
      <c r="I90" s="23"/>
      <c r="J90" s="23"/>
      <c r="K90" s="23"/>
      <c r="L90" s="23"/>
      <c r="M90" s="23"/>
      <c r="N90" s="4"/>
      <c r="O90" s="23"/>
      <c r="P90" s="23"/>
      <c r="Q90" s="23"/>
    </row>
    <row r="91" spans="1:17" x14ac:dyDescent="0.25">
      <c r="A91" s="876"/>
      <c r="B91" s="4"/>
      <c r="C91" s="23"/>
      <c r="D91" s="23"/>
      <c r="E91" s="23"/>
      <c r="F91" s="23"/>
      <c r="G91" s="23"/>
      <c r="H91" s="23"/>
      <c r="I91" s="23"/>
      <c r="J91" s="23"/>
      <c r="K91" s="23"/>
      <c r="L91" s="23"/>
      <c r="M91" s="23"/>
      <c r="N91" s="4"/>
      <c r="O91" s="23"/>
      <c r="P91" s="23"/>
      <c r="Q91" s="23"/>
    </row>
    <row r="92" spans="1:17" x14ac:dyDescent="0.25">
      <c r="A92" s="876"/>
      <c r="B92" s="4"/>
      <c r="C92" s="23"/>
      <c r="D92" s="23"/>
      <c r="E92" s="23"/>
      <c r="F92" s="23"/>
      <c r="G92" s="23"/>
      <c r="H92" s="23"/>
      <c r="I92" s="23"/>
      <c r="J92" s="23"/>
      <c r="K92" s="23"/>
      <c r="L92" s="23"/>
      <c r="M92" s="23"/>
      <c r="N92" s="4"/>
      <c r="O92" s="23"/>
      <c r="P92" s="23"/>
      <c r="Q92" s="23"/>
    </row>
    <row r="93" spans="1:17" x14ac:dyDescent="0.25">
      <c r="A93" s="876"/>
      <c r="B93" s="4"/>
      <c r="C93" s="23"/>
      <c r="D93" s="23"/>
      <c r="E93" s="23"/>
      <c r="F93" s="23"/>
      <c r="G93" s="23"/>
      <c r="H93" s="23"/>
      <c r="I93" s="23"/>
      <c r="J93" s="23"/>
      <c r="K93" s="23"/>
      <c r="L93" s="23"/>
      <c r="M93" s="23"/>
      <c r="N93" s="4"/>
      <c r="O93" s="23"/>
      <c r="P93" s="23"/>
      <c r="Q93" s="23"/>
    </row>
    <row r="94" spans="1:17" x14ac:dyDescent="0.25">
      <c r="A94" s="876"/>
      <c r="B94" s="4"/>
      <c r="C94" s="23"/>
      <c r="D94" s="23"/>
      <c r="E94" s="23"/>
      <c r="F94" s="23"/>
      <c r="G94" s="23"/>
      <c r="H94" s="23"/>
      <c r="I94" s="23"/>
      <c r="J94" s="23"/>
      <c r="K94" s="23"/>
      <c r="L94" s="23"/>
      <c r="M94" s="23"/>
      <c r="N94" s="4"/>
      <c r="O94" s="23"/>
      <c r="P94" s="23"/>
      <c r="Q94" s="23"/>
    </row>
    <row r="95" spans="1:17" x14ac:dyDescent="0.25">
      <c r="A95" s="876"/>
      <c r="B95" s="4"/>
      <c r="C95" s="23"/>
      <c r="D95" s="23"/>
      <c r="E95" s="23"/>
      <c r="F95" s="23"/>
      <c r="G95" s="23"/>
      <c r="H95" s="23"/>
      <c r="I95" s="23"/>
      <c r="J95" s="23"/>
      <c r="K95" s="23"/>
      <c r="L95" s="23"/>
      <c r="M95" s="23"/>
      <c r="N95" s="4"/>
      <c r="O95" s="23"/>
      <c r="P95" s="23"/>
      <c r="Q95" s="23"/>
    </row>
    <row r="96" spans="1:17" x14ac:dyDescent="0.25">
      <c r="A96" s="876"/>
      <c r="B96" s="4"/>
      <c r="C96" s="23"/>
      <c r="D96" s="23"/>
      <c r="E96" s="23"/>
      <c r="F96" s="23"/>
      <c r="G96" s="23"/>
      <c r="H96" s="23"/>
      <c r="I96" s="23"/>
      <c r="J96" s="23"/>
      <c r="K96" s="23"/>
      <c r="L96" s="23"/>
      <c r="M96" s="23"/>
      <c r="N96" s="4"/>
      <c r="O96" s="23"/>
      <c r="P96" s="23"/>
      <c r="Q96" s="23"/>
    </row>
    <row r="97" spans="1:17" x14ac:dyDescent="0.25">
      <c r="A97" s="876"/>
      <c r="B97" s="4"/>
      <c r="C97" s="23"/>
      <c r="D97" s="23"/>
      <c r="E97" s="23"/>
      <c r="F97" s="23"/>
      <c r="G97" s="23"/>
      <c r="H97" s="23"/>
      <c r="I97" s="23"/>
      <c r="J97" s="23"/>
      <c r="K97" s="23"/>
      <c r="L97" s="23"/>
      <c r="M97" s="23"/>
      <c r="N97" s="4"/>
      <c r="O97" s="23"/>
      <c r="P97" s="23"/>
      <c r="Q97" s="23"/>
    </row>
    <row r="98" spans="1:17" x14ac:dyDescent="0.25">
      <c r="A98" s="876"/>
      <c r="B98" s="4"/>
      <c r="C98" s="23"/>
      <c r="D98" s="23"/>
      <c r="E98" s="23"/>
      <c r="F98" s="23"/>
      <c r="G98" s="23"/>
      <c r="H98" s="23"/>
      <c r="I98" s="23"/>
      <c r="J98" s="23"/>
      <c r="K98" s="23"/>
      <c r="L98" s="23"/>
      <c r="M98" s="23"/>
      <c r="N98" s="4"/>
      <c r="O98" s="23"/>
      <c r="P98" s="23"/>
      <c r="Q98" s="23"/>
    </row>
    <row r="99" spans="1:17" x14ac:dyDescent="0.25">
      <c r="A99" s="876"/>
      <c r="B99" s="4"/>
      <c r="C99" s="23"/>
      <c r="D99" s="23"/>
      <c r="E99" s="23"/>
      <c r="F99" s="23"/>
      <c r="G99" s="23"/>
      <c r="H99" s="23"/>
      <c r="I99" s="23"/>
      <c r="J99" s="23"/>
      <c r="K99" s="23"/>
      <c r="L99" s="23"/>
      <c r="M99" s="23"/>
      <c r="N99" s="4"/>
      <c r="O99" s="23"/>
      <c r="P99" s="23"/>
      <c r="Q99" s="23"/>
    </row>
    <row r="100" spans="1:17" x14ac:dyDescent="0.25">
      <c r="A100" s="876"/>
      <c r="B100" s="4"/>
      <c r="C100" s="23"/>
      <c r="D100" s="23"/>
      <c r="E100" s="23"/>
      <c r="F100" s="23"/>
      <c r="G100" s="23"/>
      <c r="H100" s="23"/>
      <c r="I100" s="23"/>
      <c r="J100" s="23"/>
      <c r="K100" s="23"/>
      <c r="L100" s="23"/>
      <c r="M100" s="23"/>
      <c r="N100" s="4"/>
      <c r="O100" s="23"/>
      <c r="P100" s="23"/>
      <c r="Q100" s="23"/>
    </row>
    <row r="101" spans="1:17" x14ac:dyDescent="0.25">
      <c r="A101" s="876"/>
      <c r="B101" s="4"/>
      <c r="C101" s="23"/>
      <c r="D101" s="23"/>
      <c r="E101" s="23"/>
      <c r="F101" s="23"/>
      <c r="G101" s="23"/>
      <c r="H101" s="23"/>
      <c r="I101" s="23"/>
      <c r="J101" s="23"/>
      <c r="K101" s="23"/>
      <c r="L101" s="23"/>
      <c r="M101" s="23"/>
      <c r="N101" s="4"/>
      <c r="O101" s="23"/>
      <c r="P101" s="23"/>
      <c r="Q101" s="23"/>
    </row>
    <row r="102" spans="1:17" x14ac:dyDescent="0.25">
      <c r="A102" s="876"/>
      <c r="B102" s="4"/>
      <c r="C102" s="23"/>
      <c r="D102" s="23"/>
      <c r="E102" s="23"/>
      <c r="F102" s="23"/>
      <c r="G102" s="23"/>
      <c r="H102" s="23"/>
      <c r="I102" s="23"/>
      <c r="J102" s="23"/>
      <c r="K102" s="23"/>
      <c r="L102" s="23"/>
      <c r="M102" s="23"/>
      <c r="N102" s="4"/>
      <c r="O102" s="23"/>
      <c r="P102" s="23"/>
      <c r="Q102" s="23"/>
    </row>
    <row r="103" spans="1:17" x14ac:dyDescent="0.25">
      <c r="A103" s="876"/>
      <c r="B103" s="4"/>
      <c r="C103" s="23"/>
      <c r="D103" s="23"/>
      <c r="E103" s="23"/>
      <c r="F103" s="23"/>
      <c r="G103" s="23"/>
      <c r="H103" s="23"/>
      <c r="I103" s="23"/>
      <c r="J103" s="23"/>
      <c r="K103" s="23"/>
      <c r="L103" s="23"/>
      <c r="M103" s="23"/>
      <c r="N103" s="4"/>
      <c r="O103" s="23"/>
      <c r="P103" s="23"/>
      <c r="Q103" s="23"/>
    </row>
    <row r="104" spans="1:17" x14ac:dyDescent="0.25">
      <c r="A104" s="876"/>
      <c r="B104" s="4"/>
      <c r="C104" s="23"/>
      <c r="D104" s="23"/>
      <c r="E104" s="23"/>
      <c r="F104" s="23"/>
      <c r="G104" s="23"/>
      <c r="H104" s="23"/>
      <c r="I104" s="23"/>
      <c r="J104" s="23"/>
      <c r="K104" s="23"/>
      <c r="L104" s="23"/>
      <c r="M104" s="23"/>
      <c r="N104" s="4"/>
      <c r="O104" s="23"/>
      <c r="P104" s="23"/>
      <c r="Q104" s="23"/>
    </row>
    <row r="105" spans="1:17" x14ac:dyDescent="0.25">
      <c r="A105" s="876"/>
      <c r="B105" s="4"/>
      <c r="C105" s="23"/>
      <c r="D105" s="23"/>
      <c r="E105" s="23"/>
      <c r="F105" s="23"/>
      <c r="G105" s="23"/>
      <c r="H105" s="23"/>
      <c r="I105" s="23"/>
      <c r="J105" s="23"/>
      <c r="K105" s="23"/>
      <c r="L105" s="23"/>
      <c r="M105" s="23"/>
      <c r="N105" s="4"/>
      <c r="O105" s="23"/>
      <c r="P105" s="23"/>
      <c r="Q105" s="23"/>
    </row>
    <row r="106" spans="1:17" x14ac:dyDescent="0.25">
      <c r="C106" s="114"/>
    </row>
    <row r="107" spans="1:17" x14ac:dyDescent="0.25">
      <c r="C107" s="114"/>
    </row>
    <row r="108" spans="1:17" x14ac:dyDescent="0.25">
      <c r="C108" s="114"/>
    </row>
    <row r="109" spans="1:17" x14ac:dyDescent="0.25">
      <c r="C109" s="114"/>
    </row>
    <row r="110" spans="1:17" x14ac:dyDescent="0.25">
      <c r="C110" s="114"/>
    </row>
    <row r="111" spans="1:17" x14ac:dyDescent="0.25">
      <c r="C111" s="114"/>
    </row>
    <row r="112" spans="1:17" x14ac:dyDescent="0.25">
      <c r="C112" s="114"/>
    </row>
    <row r="113" spans="3:3" x14ac:dyDescent="0.25">
      <c r="C113" s="114"/>
    </row>
    <row r="114" spans="3:3" x14ac:dyDescent="0.25">
      <c r="C114" s="114"/>
    </row>
    <row r="115" spans="3:3" x14ac:dyDescent="0.25">
      <c r="C115" s="114"/>
    </row>
    <row r="116" spans="3:3" x14ac:dyDescent="0.25">
      <c r="C116" s="114"/>
    </row>
    <row r="117" spans="3:3" x14ac:dyDescent="0.25">
      <c r="C117" s="114"/>
    </row>
    <row r="118" spans="3:3" x14ac:dyDescent="0.25">
      <c r="C118" s="114"/>
    </row>
    <row r="119" spans="3:3" x14ac:dyDescent="0.25">
      <c r="C119" s="114"/>
    </row>
    <row r="120" spans="3:3" x14ac:dyDescent="0.25">
      <c r="C120" s="114"/>
    </row>
    <row r="121" spans="3:3" x14ac:dyDescent="0.25">
      <c r="C121" s="114"/>
    </row>
    <row r="122" spans="3:3" x14ac:dyDescent="0.25">
      <c r="C122" s="114"/>
    </row>
    <row r="123" spans="3:3" x14ac:dyDescent="0.25">
      <c r="C123" s="114"/>
    </row>
    <row r="124" spans="3:3" x14ac:dyDescent="0.25">
      <c r="C124" s="114"/>
    </row>
    <row r="125" spans="3:3" x14ac:dyDescent="0.25">
      <c r="C125" s="114"/>
    </row>
    <row r="126" spans="3:3" x14ac:dyDescent="0.25">
      <c r="C126" s="114"/>
    </row>
    <row r="127" spans="3:3" x14ac:dyDescent="0.25">
      <c r="C127" s="114"/>
    </row>
    <row r="128" spans="3:3" x14ac:dyDescent="0.25">
      <c r="C128" s="114"/>
    </row>
    <row r="129" spans="3:3" x14ac:dyDescent="0.25">
      <c r="C129" s="114"/>
    </row>
    <row r="130" spans="3:3" x14ac:dyDescent="0.25">
      <c r="C130" s="114"/>
    </row>
    <row r="131" spans="3:3" x14ac:dyDescent="0.25">
      <c r="C131" s="114"/>
    </row>
    <row r="132" spans="3:3" x14ac:dyDescent="0.25">
      <c r="C132" s="114"/>
    </row>
    <row r="133" spans="3:3" x14ac:dyDescent="0.25">
      <c r="C133" s="114"/>
    </row>
    <row r="134" spans="3:3" x14ac:dyDescent="0.25">
      <c r="C134" s="114"/>
    </row>
    <row r="135" spans="3:3" x14ac:dyDescent="0.25">
      <c r="C135" s="114"/>
    </row>
    <row r="136" spans="3:3" x14ac:dyDescent="0.25">
      <c r="C136" s="114"/>
    </row>
    <row r="137" spans="3:3" x14ac:dyDescent="0.25">
      <c r="C137" s="114"/>
    </row>
    <row r="138" spans="3:3" x14ac:dyDescent="0.25">
      <c r="C138" s="114"/>
    </row>
    <row r="139" spans="3:3" x14ac:dyDescent="0.25">
      <c r="C139" s="114"/>
    </row>
    <row r="140" spans="3:3" x14ac:dyDescent="0.25">
      <c r="C140" s="114"/>
    </row>
    <row r="141" spans="3:3" x14ac:dyDescent="0.25">
      <c r="C141" s="114"/>
    </row>
    <row r="142" spans="3:3" x14ac:dyDescent="0.25">
      <c r="C142" s="114"/>
    </row>
    <row r="143" spans="3:3" x14ac:dyDescent="0.25">
      <c r="C143" s="114"/>
    </row>
    <row r="144" spans="3:3" x14ac:dyDescent="0.25">
      <c r="C144" s="114"/>
    </row>
    <row r="145" spans="3:3" x14ac:dyDescent="0.25">
      <c r="C145" s="114"/>
    </row>
    <row r="146" spans="3:3" x14ac:dyDescent="0.25">
      <c r="C146" s="114"/>
    </row>
    <row r="147" spans="3:3" x14ac:dyDescent="0.25">
      <c r="C147" s="114"/>
    </row>
    <row r="148" spans="3:3" x14ac:dyDescent="0.25">
      <c r="C148" s="114"/>
    </row>
    <row r="149" spans="3:3" x14ac:dyDescent="0.25">
      <c r="C149" s="114"/>
    </row>
    <row r="150" spans="3:3" x14ac:dyDescent="0.25">
      <c r="C150" s="114"/>
    </row>
    <row r="151" spans="3:3" x14ac:dyDescent="0.25">
      <c r="C151" s="114"/>
    </row>
    <row r="152" spans="3:3" x14ac:dyDescent="0.25">
      <c r="C152" s="114"/>
    </row>
    <row r="153" spans="3:3" x14ac:dyDescent="0.25">
      <c r="C153" s="114"/>
    </row>
    <row r="154" spans="3:3" x14ac:dyDescent="0.25">
      <c r="C154" s="114"/>
    </row>
    <row r="155" spans="3:3" x14ac:dyDescent="0.25">
      <c r="C155" s="114"/>
    </row>
    <row r="156" spans="3:3" x14ac:dyDescent="0.25">
      <c r="C156" s="114"/>
    </row>
    <row r="157" spans="3:3" x14ac:dyDescent="0.25">
      <c r="C157" s="114"/>
    </row>
    <row r="158" spans="3:3" x14ac:dyDescent="0.25">
      <c r="C158" s="114"/>
    </row>
  </sheetData>
  <phoneticPr fontId="0" type="noConversion"/>
  <hyperlinks>
    <hyperlink ref="A1" location="'Working Budget with funding det'!A1" display="Main " xr:uid="{00000000-0004-0000-3100-000000000000}"/>
    <hyperlink ref="B1" location="'Table of Contents'!A1" display="TOC" xr:uid="{00000000-0004-0000-3100-000001000000}"/>
  </hyperlinks>
  <pageMargins left="0.7" right="0.7" top="0.75" bottom="0.75" header="0.3" footer="0.3"/>
  <pageSetup fitToHeight="3" orientation="landscape" horizontalDpi="300" verticalDpi="300" r:id="rId1"/>
  <headerFooter alignWithMargins="0">
    <oddFooter>&amp;L&amp;D     &amp;T&amp;C&amp;F&amp;R&amp;A</oddFooter>
  </headerFooter>
  <rowBreaks count="1" manualBreakCount="1">
    <brk id="32" max="16"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B0F0"/>
    <pageSetUpPr fitToPage="1"/>
  </sheetPr>
  <dimension ref="A1:T191"/>
  <sheetViews>
    <sheetView topLeftCell="A5" workbookViewId="0">
      <selection activeCell="P5" sqref="P1:P1048576"/>
    </sheetView>
  </sheetViews>
  <sheetFormatPr defaultRowHeight="13.2" x14ac:dyDescent="0.25"/>
  <cols>
    <col min="1" max="1" width="11.88671875" style="885" customWidth="1"/>
    <col min="2" max="2" width="36.6640625" customWidth="1"/>
    <col min="3" max="3" width="14.44140625" style="1" hidden="1" customWidth="1"/>
    <col min="4" max="10" width="14.44140625" style="114" hidden="1" customWidth="1"/>
    <col min="11" max="13" width="14.44140625" style="114" customWidth="1"/>
    <col min="14" max="14" width="14.44140625" customWidth="1"/>
    <col min="15" max="16" width="14.44140625" style="1" customWidth="1"/>
    <col min="17" max="19" width="14.44140625" customWidth="1"/>
    <col min="20" max="20" width="14.6640625" style="2" customWidth="1"/>
  </cols>
  <sheetData>
    <row r="1" spans="1:19" x14ac:dyDescent="0.25">
      <c r="A1" s="874" t="s">
        <v>1021</v>
      </c>
      <c r="B1" s="371" t="s">
        <v>1348</v>
      </c>
      <c r="P1"/>
    </row>
    <row r="2" spans="1:19" ht="13.8" x14ac:dyDescent="0.25">
      <c r="A2" s="875" t="s">
        <v>266</v>
      </c>
      <c r="B2" s="45"/>
      <c r="E2" s="141"/>
      <c r="I2" s="141" t="s">
        <v>257</v>
      </c>
      <c r="J2" s="141"/>
      <c r="K2" s="141"/>
      <c r="L2" s="141"/>
      <c r="M2" s="141"/>
      <c r="N2" s="61" t="s">
        <v>373</v>
      </c>
      <c r="P2" s="46" t="s">
        <v>505</v>
      </c>
    </row>
    <row r="3" spans="1:19" ht="13.8" thickBot="1" x14ac:dyDescent="0.3">
      <c r="A3" s="876"/>
      <c r="B3" s="4"/>
      <c r="C3" s="23"/>
      <c r="D3" s="23"/>
      <c r="E3" s="23"/>
      <c r="F3" s="23"/>
      <c r="G3" s="23"/>
      <c r="H3" s="23"/>
      <c r="I3" s="23"/>
      <c r="J3" s="23"/>
      <c r="K3" s="23"/>
      <c r="L3" s="23"/>
      <c r="M3" s="23"/>
      <c r="N3" s="4"/>
      <c r="O3" s="23"/>
      <c r="P3" s="4"/>
      <c r="S3" s="4"/>
    </row>
    <row r="4" spans="1:19" ht="13.8" thickTop="1" x14ac:dyDescent="0.25">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t="s">
        <v>910</v>
      </c>
    </row>
    <row r="5" spans="1:19" x14ac:dyDescent="0.25">
      <c r="A5" s="878"/>
      <c r="B5" s="209"/>
      <c r="C5" s="127"/>
      <c r="D5" s="87"/>
      <c r="E5" s="113"/>
      <c r="F5" s="87"/>
      <c r="G5" s="87"/>
      <c r="H5" s="113"/>
      <c r="I5" s="290"/>
      <c r="J5" s="290"/>
      <c r="K5" s="290"/>
      <c r="L5" s="290"/>
      <c r="M5" s="290"/>
      <c r="N5" s="113" t="s">
        <v>515</v>
      </c>
      <c r="O5" s="88" t="s">
        <v>7</v>
      </c>
      <c r="P5" s="203" t="s">
        <v>782</v>
      </c>
    </row>
    <row r="6" spans="1:19" x14ac:dyDescent="0.25">
      <c r="A6" s="878"/>
      <c r="B6" s="209"/>
      <c r="C6" s="127"/>
      <c r="D6" s="127"/>
      <c r="E6" s="127"/>
      <c r="F6" s="127"/>
      <c r="G6" s="127"/>
      <c r="H6" s="127"/>
      <c r="I6" s="88"/>
      <c r="J6" s="88"/>
      <c r="K6" s="88"/>
      <c r="L6" s="88"/>
      <c r="M6" s="88"/>
      <c r="N6" s="127"/>
      <c r="O6" s="88" t="s">
        <v>8</v>
      </c>
      <c r="P6" s="47" t="s">
        <v>543</v>
      </c>
    </row>
    <row r="7" spans="1:19"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44561</v>
      </c>
      <c r="O7" s="9" t="s">
        <v>9</v>
      </c>
      <c r="P7" s="9" t="s">
        <v>546</v>
      </c>
    </row>
    <row r="8" spans="1:19" ht="13.8" thickTop="1" x14ac:dyDescent="0.25">
      <c r="A8" s="908"/>
      <c r="B8" s="210"/>
      <c r="C8" s="132"/>
      <c r="D8" s="18"/>
      <c r="E8" s="18"/>
      <c r="F8" s="18"/>
      <c r="G8" s="18"/>
      <c r="H8" s="18"/>
      <c r="I8" s="19"/>
      <c r="J8" s="19"/>
      <c r="K8" s="19"/>
      <c r="L8" s="19"/>
      <c r="M8" s="19"/>
      <c r="N8" s="18"/>
      <c r="O8" s="19"/>
      <c r="P8" s="19"/>
    </row>
    <row r="9" spans="1:19" x14ac:dyDescent="0.25">
      <c r="A9" s="881">
        <v>5664</v>
      </c>
      <c r="B9" s="63" t="s">
        <v>1489</v>
      </c>
      <c r="C9" s="130">
        <v>51152</v>
      </c>
      <c r="D9" s="13">
        <v>54421</v>
      </c>
      <c r="E9" s="13">
        <v>35320</v>
      </c>
      <c r="F9" s="13">
        <v>51012</v>
      </c>
      <c r="G9" s="13">
        <v>52298</v>
      </c>
      <c r="H9" s="13">
        <v>53331</v>
      </c>
      <c r="I9" s="144">
        <v>53454</v>
      </c>
      <c r="J9" s="144">
        <f>-150+55514</f>
        <v>55364</v>
      </c>
      <c r="K9" s="122">
        <v>55957</v>
      </c>
      <c r="L9" s="144">
        <v>55957</v>
      </c>
      <c r="M9" s="122">
        <v>52856</v>
      </c>
      <c r="N9" s="13">
        <v>39642</v>
      </c>
      <c r="O9" s="122">
        <v>51558</v>
      </c>
      <c r="P9" s="122"/>
      <c r="R9" s="202"/>
    </row>
    <row r="10" spans="1:19" x14ac:dyDescent="0.25">
      <c r="A10" s="881">
        <v>5665</v>
      </c>
      <c r="B10" s="63" t="s">
        <v>49</v>
      </c>
      <c r="C10" s="130">
        <v>3190.82</v>
      </c>
      <c r="D10" s="13">
        <v>3270.21</v>
      </c>
      <c r="E10" s="13">
        <v>3861.12</v>
      </c>
      <c r="F10" s="13">
        <v>4166.21</v>
      </c>
      <c r="G10" s="13">
        <v>4229.2299999999996</v>
      </c>
      <c r="H10" s="13">
        <v>6478.06</v>
      </c>
      <c r="I10" s="144">
        <v>6592.29</v>
      </c>
      <c r="J10" s="144">
        <v>6947.75</v>
      </c>
      <c r="K10" s="122">
        <v>7455</v>
      </c>
      <c r="L10" s="144">
        <v>7452.55</v>
      </c>
      <c r="M10" s="122">
        <f t="shared" ref="M10" si="0">ROUND((+I10*1.03),0)</f>
        <v>6790</v>
      </c>
      <c r="N10" s="13">
        <v>7452.55</v>
      </c>
      <c r="O10" s="122">
        <v>7161</v>
      </c>
      <c r="P10" s="122"/>
      <c r="R10" s="202"/>
    </row>
    <row r="11" spans="1:19" x14ac:dyDescent="0.25">
      <c r="A11" s="881">
        <v>5666</v>
      </c>
      <c r="B11" s="63" t="s">
        <v>234</v>
      </c>
      <c r="C11" s="130">
        <v>17486</v>
      </c>
      <c r="D11" s="13">
        <v>19041</v>
      </c>
      <c r="E11" s="13">
        <v>21160</v>
      </c>
      <c r="F11" s="13">
        <v>23373</v>
      </c>
      <c r="G11" s="13">
        <v>24489</v>
      </c>
      <c r="H11" s="13">
        <v>25109</v>
      </c>
      <c r="I11" s="144">
        <v>26171</v>
      </c>
      <c r="J11" s="144">
        <v>27254</v>
      </c>
      <c r="K11" s="122">
        <v>30887</v>
      </c>
      <c r="L11" s="144">
        <v>30886.560000000001</v>
      </c>
      <c r="M11" s="122">
        <v>31274</v>
      </c>
      <c r="N11" s="13">
        <v>15638</v>
      </c>
      <c r="O11" s="122">
        <v>31763</v>
      </c>
      <c r="P11" s="122"/>
      <c r="R11" s="202"/>
    </row>
    <row r="12" spans="1:19" x14ac:dyDescent="0.25">
      <c r="A12" s="881">
        <v>5667</v>
      </c>
      <c r="B12" s="63" t="s">
        <v>950</v>
      </c>
      <c r="C12" s="250"/>
      <c r="D12" s="37"/>
      <c r="E12" s="37"/>
      <c r="F12" s="37"/>
      <c r="G12" s="37"/>
      <c r="H12" s="37">
        <v>150</v>
      </c>
      <c r="I12" s="144">
        <v>150</v>
      </c>
      <c r="J12" s="144">
        <v>150</v>
      </c>
      <c r="K12" s="122">
        <v>150</v>
      </c>
      <c r="L12" s="233">
        <v>150</v>
      </c>
      <c r="M12" s="122">
        <v>150</v>
      </c>
      <c r="N12" s="37">
        <v>150</v>
      </c>
      <c r="O12" s="122">
        <v>150</v>
      </c>
      <c r="P12" s="125"/>
      <c r="R12" s="202"/>
    </row>
    <row r="13" spans="1:19" ht="13.8" thickBot="1" x14ac:dyDescent="0.3">
      <c r="A13" s="881">
        <v>5670</v>
      </c>
      <c r="B13" s="63" t="s">
        <v>235</v>
      </c>
      <c r="C13" s="131">
        <v>11246</v>
      </c>
      <c r="D13" s="15">
        <v>11142</v>
      </c>
      <c r="E13" s="15">
        <v>11597</v>
      </c>
      <c r="F13" s="15">
        <v>15707</v>
      </c>
      <c r="G13" s="15">
        <v>11479.07</v>
      </c>
      <c r="H13" s="15">
        <v>14183.83</v>
      </c>
      <c r="I13" s="318">
        <v>14457.07</v>
      </c>
      <c r="J13" s="318">
        <v>14985.69</v>
      </c>
      <c r="K13" s="123">
        <v>16730</v>
      </c>
      <c r="L13" s="318">
        <v>16729.689999999999</v>
      </c>
      <c r="M13" s="123">
        <v>19650</v>
      </c>
      <c r="N13" s="15">
        <v>19649.45</v>
      </c>
      <c r="O13" s="123">
        <v>20015</v>
      </c>
      <c r="P13" s="123"/>
      <c r="R13" s="587"/>
    </row>
    <row r="14" spans="1:19" x14ac:dyDescent="0.25">
      <c r="A14" s="881"/>
      <c r="B14" s="63"/>
      <c r="C14" s="132"/>
      <c r="D14" s="18"/>
      <c r="E14" s="18"/>
      <c r="F14" s="18"/>
      <c r="G14" s="18"/>
      <c r="H14" s="18"/>
      <c r="I14" s="18"/>
      <c r="J14" s="18"/>
      <c r="K14" s="19"/>
      <c r="L14" s="18"/>
      <c r="M14" s="19"/>
      <c r="N14" s="18"/>
      <c r="O14" s="19"/>
      <c r="P14" s="19"/>
      <c r="R14" s="94"/>
    </row>
    <row r="15" spans="1:19" ht="13.8" thickBot="1" x14ac:dyDescent="0.3">
      <c r="A15" s="882"/>
      <c r="B15" s="723" t="s">
        <v>236</v>
      </c>
      <c r="C15" s="714">
        <f>SUM(C9:C14)</f>
        <v>83074.820000000007</v>
      </c>
      <c r="D15" s="21">
        <f>SUM(D9:D14)</f>
        <v>87874.209999999992</v>
      </c>
      <c r="E15" s="21">
        <f>SUM(E9:E14)</f>
        <v>71938.12</v>
      </c>
      <c r="F15" s="21">
        <f>SUM(F9:F13)</f>
        <v>94258.209999999992</v>
      </c>
      <c r="G15" s="21">
        <f>SUM(G9:G13)</f>
        <v>92495.299999999988</v>
      </c>
      <c r="H15" s="21">
        <f>SUM(H9:H13)</f>
        <v>99251.89</v>
      </c>
      <c r="I15" s="21">
        <f>SUM(I9:I14)</f>
        <v>100824.36000000002</v>
      </c>
      <c r="J15" s="21">
        <f>SUM(J9:J14)</f>
        <v>104701.44</v>
      </c>
      <c r="K15" s="41">
        <f>SUM(K9:K14)</f>
        <v>111179</v>
      </c>
      <c r="L15" s="21">
        <f t="shared" ref="L15:M15" si="1">SUM(L9:L14)</f>
        <v>111175.8</v>
      </c>
      <c r="M15" s="41">
        <f t="shared" si="1"/>
        <v>110720</v>
      </c>
      <c r="N15" s="21">
        <f>SUM(N9:N13)</f>
        <v>82532</v>
      </c>
      <c r="O15" s="41">
        <f>SUM(O9:O14)</f>
        <v>110647</v>
      </c>
      <c r="P15" s="41">
        <f>+O15</f>
        <v>110647</v>
      </c>
    </row>
    <row r="16" spans="1:19" ht="13.8" thickTop="1" x14ac:dyDescent="0.25">
      <c r="A16" s="876"/>
      <c r="B16" s="724"/>
      <c r="C16" s="23"/>
      <c r="D16" s="23"/>
      <c r="E16" s="23"/>
      <c r="F16" s="23"/>
      <c r="G16" s="23"/>
      <c r="H16" s="23"/>
      <c r="I16" s="23"/>
      <c r="J16" s="23"/>
      <c r="K16" s="23"/>
      <c r="L16" s="23"/>
      <c r="M16" s="23"/>
      <c r="N16" s="27"/>
      <c r="O16" s="23"/>
      <c r="P16" s="23"/>
      <c r="Q16" s="27"/>
      <c r="R16" s="27"/>
      <c r="S16" s="27"/>
    </row>
    <row r="17" spans="1:19" x14ac:dyDescent="0.25">
      <c r="A17" s="57">
        <v>44518</v>
      </c>
      <c r="B17" s="724" t="s">
        <v>1655</v>
      </c>
      <c r="C17" s="23"/>
      <c r="D17" s="23"/>
      <c r="E17" s="23"/>
      <c r="F17" s="23"/>
      <c r="G17" s="23"/>
      <c r="H17" s="23"/>
      <c r="I17" s="23"/>
      <c r="J17" s="23"/>
      <c r="K17" s="23"/>
      <c r="L17" s="23"/>
      <c r="M17" s="23"/>
      <c r="N17" s="27"/>
      <c r="O17" s="23"/>
      <c r="P17" s="23"/>
      <c r="Q17" s="27"/>
      <c r="R17" s="27"/>
      <c r="S17" s="27"/>
    </row>
    <row r="18" spans="1:19" x14ac:dyDescent="0.25">
      <c r="A18" s="57">
        <v>44593</v>
      </c>
      <c r="B18" s="726" t="s">
        <v>1873</v>
      </c>
      <c r="C18" s="23"/>
      <c r="D18" s="23"/>
      <c r="E18" s="23"/>
      <c r="F18" s="23"/>
      <c r="G18" s="23"/>
      <c r="H18" s="23"/>
      <c r="I18" s="23"/>
      <c r="J18" s="23"/>
      <c r="K18" s="23"/>
      <c r="L18" s="23"/>
      <c r="M18" s="23"/>
      <c r="N18" s="27"/>
      <c r="O18" s="23"/>
      <c r="P18" s="23"/>
      <c r="Q18" s="27"/>
      <c r="R18" s="27"/>
      <c r="S18" s="27"/>
    </row>
    <row r="19" spans="1:19" x14ac:dyDescent="0.25">
      <c r="A19" s="57">
        <v>44607</v>
      </c>
      <c r="B19" s="4" t="s">
        <v>1895</v>
      </c>
      <c r="C19" s="23"/>
      <c r="D19" s="23"/>
      <c r="E19" s="23"/>
      <c r="F19" s="23"/>
      <c r="G19" s="23"/>
      <c r="H19" s="23"/>
      <c r="I19" s="23"/>
      <c r="J19" s="23"/>
      <c r="K19" s="23"/>
      <c r="L19" s="23"/>
      <c r="M19" s="23"/>
      <c r="N19" s="27"/>
      <c r="O19" s="23"/>
      <c r="P19" s="23"/>
      <c r="Q19" s="27"/>
      <c r="R19" s="27"/>
      <c r="S19" s="27"/>
    </row>
    <row r="20" spans="1:19" x14ac:dyDescent="0.25">
      <c r="A20" s="57"/>
      <c r="B20" s="4"/>
      <c r="C20" s="23"/>
      <c r="D20" s="23"/>
      <c r="E20" s="23"/>
      <c r="F20" s="23"/>
      <c r="G20" s="23"/>
      <c r="H20" s="23"/>
      <c r="I20" s="23"/>
      <c r="J20" s="23"/>
      <c r="K20" s="23"/>
      <c r="L20" s="23"/>
      <c r="M20" s="23"/>
      <c r="N20" s="27"/>
      <c r="O20" s="23"/>
      <c r="P20" s="23"/>
      <c r="Q20" s="27"/>
      <c r="R20" s="27"/>
      <c r="S20" s="27"/>
    </row>
    <row r="21" spans="1:19" ht="13.8" thickBot="1" x14ac:dyDescent="0.3">
      <c r="A21" s="905"/>
      <c r="B21" s="26"/>
      <c r="C21" s="24"/>
      <c r="D21" s="24"/>
      <c r="E21" s="24"/>
      <c r="F21" s="24"/>
      <c r="G21" s="24"/>
      <c r="H21" s="24"/>
      <c r="I21" s="24"/>
      <c r="J21" s="24"/>
      <c r="K21" s="24"/>
      <c r="L21" s="24"/>
      <c r="M21" s="24"/>
      <c r="N21" s="25"/>
      <c r="O21" s="24"/>
      <c r="P21" s="27"/>
      <c r="Q21" s="25"/>
      <c r="R21" s="25"/>
      <c r="S21" s="25"/>
    </row>
    <row r="22" spans="1:19" ht="13.8" thickTop="1" x14ac:dyDescent="0.25">
      <c r="A22" s="893"/>
      <c r="B22" s="452"/>
      <c r="C22" s="453" t="s">
        <v>127</v>
      </c>
      <c r="D22" s="454" t="s">
        <v>127</v>
      </c>
      <c r="E22" s="453" t="s">
        <v>127</v>
      </c>
      <c r="K22" s="455" t="s">
        <v>547</v>
      </c>
      <c r="L22" s="456" t="s">
        <v>9</v>
      </c>
      <c r="M22" s="457" t="s">
        <v>1073</v>
      </c>
      <c r="N22" s="456" t="s">
        <v>686</v>
      </c>
      <c r="O22" s="458"/>
      <c r="P22" s="457"/>
      <c r="Q22" s="202"/>
      <c r="R22" s="25"/>
      <c r="S22" s="25"/>
    </row>
    <row r="23" spans="1:19" ht="13.8" thickBot="1" x14ac:dyDescent="0.3">
      <c r="A23" s="894"/>
      <c r="B23" s="459"/>
      <c r="C23" s="508" t="s">
        <v>347</v>
      </c>
      <c r="D23" s="508" t="s">
        <v>722</v>
      </c>
      <c r="E23" s="462" t="s">
        <v>737</v>
      </c>
      <c r="K23" s="462" t="s">
        <v>909</v>
      </c>
      <c r="L23" s="462" t="s">
        <v>910</v>
      </c>
      <c r="M23" s="461" t="s">
        <v>1075</v>
      </c>
      <c r="N23" s="463" t="s">
        <v>1075</v>
      </c>
      <c r="O23" s="464" t="s">
        <v>1074</v>
      </c>
      <c r="P23" s="462"/>
      <c r="Q23" s="25"/>
      <c r="R23" s="25"/>
      <c r="S23" s="25"/>
    </row>
    <row r="24" spans="1:19" ht="13.8" thickTop="1" x14ac:dyDescent="0.25">
      <c r="A24" s="910"/>
      <c r="B24" s="480"/>
      <c r="C24" s="468"/>
      <c r="D24" s="468"/>
      <c r="E24" s="468"/>
      <c r="K24" s="468"/>
      <c r="L24" s="468"/>
      <c r="M24" s="469"/>
      <c r="N24" s="468"/>
      <c r="O24" s="509"/>
      <c r="P24" s="510"/>
      <c r="Q24" s="25"/>
      <c r="R24" s="25"/>
      <c r="S24" s="25"/>
    </row>
    <row r="25" spans="1:19" x14ac:dyDescent="0.25">
      <c r="A25" s="907">
        <v>5664</v>
      </c>
      <c r="B25" s="472" t="s">
        <v>233</v>
      </c>
      <c r="C25" s="476">
        <v>51152</v>
      </c>
      <c r="D25" s="476">
        <v>54421</v>
      </c>
      <c r="E25" s="476">
        <v>35320</v>
      </c>
      <c r="K25" s="475">
        <f>+M9</f>
        <v>52856</v>
      </c>
      <c r="L25" s="497">
        <f>+O9</f>
        <v>51558</v>
      </c>
      <c r="M25" s="500">
        <f>+L25-K25</f>
        <v>-1298</v>
      </c>
      <c r="N25" s="477">
        <f>IF(K25+L25&lt;&gt;0,IF(K25&lt;&gt;0,IF(M25&lt;&gt;0,ROUND((+M25/K25),4),""),1),"")</f>
        <v>-2.46E-2</v>
      </c>
      <c r="O25" s="470" t="s">
        <v>1798</v>
      </c>
      <c r="P25" s="471"/>
      <c r="Q25" s="25"/>
      <c r="R25" s="25"/>
      <c r="S25" s="25"/>
    </row>
    <row r="26" spans="1:19" x14ac:dyDescent="0.25">
      <c r="A26" s="907">
        <v>5665</v>
      </c>
      <c r="B26" s="472" t="s">
        <v>49</v>
      </c>
      <c r="C26" s="476">
        <v>3190.82</v>
      </c>
      <c r="D26" s="476">
        <v>3270.21</v>
      </c>
      <c r="E26" s="476">
        <v>3861.12</v>
      </c>
      <c r="K26" s="475">
        <f>+M10</f>
        <v>6790</v>
      </c>
      <c r="L26" s="497">
        <f>+O10</f>
        <v>7161</v>
      </c>
      <c r="M26" s="500">
        <f>+L26-K26</f>
        <v>371</v>
      </c>
      <c r="N26" s="477">
        <f>IF(K26+L26&lt;&gt;0,IF(K26&lt;&gt;0,IF(M26&lt;&gt;0,ROUND((+M26/K26),4),""),1),"")</f>
        <v>5.4600000000000003E-2</v>
      </c>
      <c r="O26" s="470" t="s">
        <v>1798</v>
      </c>
      <c r="P26" s="471"/>
      <c r="Q26" s="25"/>
      <c r="R26" s="25"/>
      <c r="S26" s="25"/>
    </row>
    <row r="27" spans="1:19" x14ac:dyDescent="0.25">
      <c r="A27" s="907">
        <v>5666</v>
      </c>
      <c r="B27" s="472" t="s">
        <v>234</v>
      </c>
      <c r="C27" s="476">
        <v>17486</v>
      </c>
      <c r="D27" s="476">
        <v>19041</v>
      </c>
      <c r="E27" s="476">
        <v>21160</v>
      </c>
      <c r="K27" s="475">
        <f>+M11</f>
        <v>31274</v>
      </c>
      <c r="L27" s="497">
        <f>+O11</f>
        <v>31763</v>
      </c>
      <c r="M27" s="500">
        <f>+L27-K27</f>
        <v>489</v>
      </c>
      <c r="N27" s="477">
        <f>IF(K27+L27&lt;&gt;0,IF(K27&lt;&gt;0,IF(M27&lt;&gt;0,ROUND((+M27/K27),4),""),1),"")</f>
        <v>1.5599999999999999E-2</v>
      </c>
      <c r="O27" s="470" t="s">
        <v>1799</v>
      </c>
      <c r="P27" s="471"/>
      <c r="Q27" s="27"/>
      <c r="R27" s="27"/>
      <c r="S27" s="27"/>
    </row>
    <row r="28" spans="1:19" x14ac:dyDescent="0.25">
      <c r="A28" s="907">
        <v>5667</v>
      </c>
      <c r="B28" s="472" t="s">
        <v>950</v>
      </c>
      <c r="C28" s="478"/>
      <c r="D28" s="478"/>
      <c r="E28" s="478"/>
      <c r="K28" s="475">
        <f>+M12</f>
        <v>150</v>
      </c>
      <c r="L28" s="497">
        <f>+O12</f>
        <v>150</v>
      </c>
      <c r="M28" s="500">
        <f>+L28-K28</f>
        <v>0</v>
      </c>
      <c r="N28" s="477" t="str">
        <f>IF(K28+L28&lt;&gt;0,IF(K28&lt;&gt;0,IF(M28&lt;&gt;0,ROUND((+M28/K28),4),""),1),"")</f>
        <v/>
      </c>
      <c r="O28" s="511"/>
      <c r="P28" s="512"/>
      <c r="Q28" s="27"/>
      <c r="R28" s="27"/>
      <c r="S28" s="27"/>
    </row>
    <row r="29" spans="1:19" ht="13.8" thickBot="1" x14ac:dyDescent="0.3">
      <c r="A29" s="907">
        <v>5670</v>
      </c>
      <c r="B29" s="472" t="s">
        <v>235</v>
      </c>
      <c r="C29" s="474">
        <v>11246</v>
      </c>
      <c r="D29" s="474">
        <v>11142</v>
      </c>
      <c r="E29" s="474">
        <v>11597</v>
      </c>
      <c r="K29" s="475">
        <f>+M13</f>
        <v>19650</v>
      </c>
      <c r="L29" s="497">
        <f>+O13</f>
        <v>20015</v>
      </c>
      <c r="M29" s="500">
        <f>+L29-K29</f>
        <v>365</v>
      </c>
      <c r="N29" s="477">
        <f>IF(K29+L29&lt;&gt;0,IF(K29&lt;&gt;0,IF(M29&lt;&gt;0,ROUND((+M29/K29),4),""),1),"")</f>
        <v>1.8599999999999998E-2</v>
      </c>
      <c r="O29" s="470" t="s">
        <v>1799</v>
      </c>
      <c r="P29" s="506"/>
      <c r="Q29" s="27"/>
      <c r="R29" s="27"/>
      <c r="S29" s="27"/>
    </row>
    <row r="30" spans="1:19" x14ac:dyDescent="0.25">
      <c r="A30" s="876"/>
      <c r="B30" s="4"/>
      <c r="C30" s="23"/>
      <c r="D30" s="23"/>
      <c r="E30" s="23"/>
      <c r="F30" s="23"/>
      <c r="G30" s="23"/>
      <c r="K30" s="23"/>
      <c r="L30" s="23"/>
      <c r="M30" s="23"/>
      <c r="N30" s="27"/>
      <c r="O30" s="23"/>
      <c r="P30" s="23"/>
      <c r="Q30" s="27"/>
      <c r="R30" s="27"/>
      <c r="S30" s="27"/>
    </row>
    <row r="31" spans="1:19" x14ac:dyDescent="0.25">
      <c r="A31" s="876"/>
      <c r="B31" s="4" t="s">
        <v>1363</v>
      </c>
      <c r="C31" s="23"/>
      <c r="D31" s="23"/>
      <c r="E31" s="23"/>
      <c r="F31" s="23"/>
      <c r="G31" s="23"/>
      <c r="K31" s="742">
        <f>SUM(K25:K30)</f>
        <v>110720</v>
      </c>
      <c r="L31" s="742">
        <f>SUM(L25:L30)</f>
        <v>110647</v>
      </c>
      <c r="M31" s="202">
        <f>+L31-K31</f>
        <v>-73</v>
      </c>
      <c r="N31" s="743">
        <f>IF(K31+L31&lt;&gt;0,IF(K31&lt;&gt;0,IF(M31&lt;&gt;0,ROUND((+M31/K31),4),""),1),"")</f>
        <v>-6.9999999999999999E-4</v>
      </c>
      <c r="O31" s="23"/>
      <c r="P31" s="23"/>
      <c r="Q31" s="27"/>
      <c r="R31" s="27"/>
      <c r="S31" s="27"/>
    </row>
    <row r="32" spans="1:19" x14ac:dyDescent="0.25">
      <c r="A32" s="876"/>
      <c r="B32" s="4"/>
      <c r="C32" s="23"/>
      <c r="D32" s="23"/>
      <c r="E32" s="23"/>
      <c r="F32" s="23"/>
      <c r="G32" s="23"/>
      <c r="I32" s="23"/>
      <c r="J32" s="23"/>
      <c r="K32" s="23"/>
      <c r="L32" s="23"/>
      <c r="M32" s="23"/>
      <c r="N32" s="27"/>
      <c r="O32" s="23"/>
      <c r="P32" s="23"/>
      <c r="Q32" s="27"/>
      <c r="R32" s="27"/>
      <c r="S32" s="27"/>
    </row>
    <row r="33" spans="1:19" x14ac:dyDescent="0.25">
      <c r="A33" s="876"/>
      <c r="B33" s="4"/>
      <c r="C33" s="23"/>
      <c r="D33" s="23"/>
      <c r="E33" s="23"/>
      <c r="F33" s="23"/>
      <c r="G33" s="23"/>
      <c r="I33" s="23"/>
      <c r="J33" s="23"/>
      <c r="K33" s="23"/>
      <c r="L33" s="23"/>
      <c r="M33" s="23"/>
      <c r="N33" s="27"/>
      <c r="O33" s="23"/>
      <c r="P33" s="23"/>
      <c r="Q33" s="27"/>
      <c r="R33" s="27"/>
      <c r="S33" s="27"/>
    </row>
    <row r="34" spans="1:19" x14ac:dyDescent="0.25">
      <c r="A34" s="876"/>
      <c r="B34" s="4"/>
      <c r="C34" s="23"/>
      <c r="D34" s="23"/>
      <c r="E34" s="23"/>
      <c r="F34" s="23"/>
      <c r="G34" s="23"/>
      <c r="H34" s="23"/>
      <c r="I34" s="23"/>
      <c r="J34" s="23"/>
      <c r="K34" s="23"/>
      <c r="L34" s="23"/>
      <c r="M34" s="23"/>
      <c r="N34" s="27"/>
      <c r="O34" s="23"/>
      <c r="P34" s="23"/>
      <c r="Q34" s="27"/>
      <c r="R34" s="27"/>
      <c r="S34" s="27"/>
    </row>
    <row r="35" spans="1:19" x14ac:dyDescent="0.25">
      <c r="A35" s="876"/>
      <c r="B35" s="4"/>
      <c r="C35" s="23"/>
      <c r="D35" s="23"/>
      <c r="E35" s="23"/>
      <c r="F35" s="23"/>
      <c r="G35" s="23"/>
      <c r="H35" s="23"/>
      <c r="I35" s="23"/>
      <c r="J35" s="23"/>
      <c r="K35" s="23"/>
      <c r="L35" s="23"/>
      <c r="M35" s="23"/>
      <c r="N35" s="27"/>
      <c r="O35" s="23"/>
      <c r="P35" s="23"/>
      <c r="Q35" s="27"/>
      <c r="R35" s="27"/>
      <c r="S35" s="27"/>
    </row>
    <row r="36" spans="1:19" x14ac:dyDescent="0.25">
      <c r="A36" s="876"/>
      <c r="B36" s="4"/>
      <c r="C36" s="23"/>
      <c r="D36" s="23"/>
      <c r="E36" s="23"/>
      <c r="F36" s="23"/>
      <c r="G36" s="23"/>
      <c r="H36" s="23"/>
      <c r="I36" s="23"/>
      <c r="J36" s="23"/>
      <c r="K36" s="23"/>
      <c r="L36" s="23"/>
      <c r="M36" s="23"/>
      <c r="N36" s="27"/>
      <c r="O36" s="23"/>
      <c r="P36" s="23"/>
      <c r="Q36" s="27"/>
      <c r="R36" s="27"/>
      <c r="S36" s="27"/>
    </row>
    <row r="37" spans="1:19" x14ac:dyDescent="0.25">
      <c r="A37" s="876"/>
      <c r="B37" s="4"/>
      <c r="C37" s="23"/>
      <c r="D37" s="23"/>
      <c r="E37" s="23"/>
      <c r="F37" s="23"/>
      <c r="G37" s="23"/>
      <c r="H37" s="23"/>
      <c r="I37" s="23"/>
      <c r="J37" s="23"/>
      <c r="K37" s="23"/>
      <c r="L37" s="23"/>
      <c r="M37" s="23"/>
      <c r="N37" s="27"/>
      <c r="O37" s="23"/>
      <c r="P37" s="23"/>
      <c r="Q37" s="27"/>
      <c r="R37" s="27"/>
      <c r="S37" s="27"/>
    </row>
    <row r="38" spans="1:19" x14ac:dyDescent="0.25">
      <c r="A38" s="876"/>
      <c r="B38" s="4"/>
      <c r="C38" s="23"/>
      <c r="D38" s="23"/>
      <c r="E38" s="23"/>
      <c r="F38" s="23"/>
      <c r="G38" s="23"/>
      <c r="H38" s="23"/>
      <c r="I38" s="23"/>
      <c r="J38" s="23"/>
      <c r="K38" s="23"/>
      <c r="L38" s="23"/>
      <c r="M38" s="23"/>
      <c r="N38" s="27"/>
      <c r="O38" s="23"/>
      <c r="P38" s="23"/>
      <c r="Q38" s="27"/>
      <c r="R38" s="27"/>
      <c r="S38" s="27"/>
    </row>
    <row r="39" spans="1:19" x14ac:dyDescent="0.25">
      <c r="A39" s="876"/>
      <c r="B39" s="4"/>
      <c r="C39" s="23"/>
      <c r="D39" s="23"/>
      <c r="E39" s="23"/>
      <c r="F39" s="23"/>
      <c r="G39" s="23"/>
      <c r="H39" s="23"/>
      <c r="I39" s="23"/>
      <c r="J39" s="23"/>
      <c r="K39" s="23"/>
      <c r="L39" s="23"/>
      <c r="M39" s="23"/>
      <c r="N39" s="27"/>
      <c r="O39" s="23"/>
      <c r="P39" s="23"/>
      <c r="Q39" s="27"/>
      <c r="R39" s="27"/>
      <c r="S39" s="27"/>
    </row>
    <row r="40" spans="1:19" x14ac:dyDescent="0.25">
      <c r="A40" s="876"/>
      <c r="B40" s="4"/>
      <c r="C40" s="23"/>
      <c r="D40" s="23"/>
      <c r="E40" s="23"/>
      <c r="F40" s="23"/>
      <c r="G40" s="23"/>
      <c r="H40" s="23"/>
      <c r="I40" s="23"/>
      <c r="J40" s="23"/>
      <c r="K40" s="23"/>
      <c r="L40" s="23"/>
      <c r="M40" s="23"/>
      <c r="N40" s="27"/>
      <c r="O40" s="23"/>
      <c r="P40" s="23"/>
      <c r="Q40" s="27"/>
      <c r="R40" s="27"/>
      <c r="S40" s="27"/>
    </row>
    <row r="41" spans="1:19" x14ac:dyDescent="0.25">
      <c r="A41" s="876"/>
      <c r="B41" s="4"/>
      <c r="C41" s="23"/>
      <c r="D41" s="23"/>
      <c r="E41" s="23"/>
      <c r="F41" s="23"/>
      <c r="G41" s="23"/>
      <c r="H41" s="23"/>
      <c r="I41" s="23"/>
      <c r="J41" s="23"/>
      <c r="K41" s="23"/>
      <c r="L41" s="23"/>
      <c r="M41" s="23"/>
      <c r="N41" s="27"/>
      <c r="O41" s="23"/>
      <c r="P41" s="23"/>
      <c r="Q41" s="27"/>
      <c r="R41" s="27"/>
      <c r="S41" s="27"/>
    </row>
    <row r="42" spans="1:19" x14ac:dyDescent="0.25">
      <c r="A42" s="876"/>
      <c r="B42" s="4"/>
      <c r="C42" s="23"/>
      <c r="D42" s="23"/>
      <c r="E42" s="23"/>
      <c r="F42" s="23"/>
      <c r="G42" s="23"/>
      <c r="H42" s="23"/>
      <c r="I42" s="23"/>
      <c r="J42" s="23"/>
      <c r="K42" s="23"/>
      <c r="L42" s="23"/>
      <c r="M42" s="23"/>
      <c r="N42" s="27"/>
      <c r="O42" s="23"/>
      <c r="P42" s="23"/>
      <c r="Q42" s="27"/>
      <c r="R42" s="27"/>
      <c r="S42" s="27"/>
    </row>
    <row r="43" spans="1:19" x14ac:dyDescent="0.25">
      <c r="A43" s="876"/>
      <c r="B43" s="4"/>
      <c r="C43" s="23"/>
      <c r="D43" s="23"/>
      <c r="E43" s="23"/>
      <c r="F43" s="23"/>
      <c r="G43" s="23"/>
      <c r="H43" s="23"/>
      <c r="I43" s="23"/>
      <c r="J43" s="23"/>
      <c r="K43" s="23"/>
      <c r="L43" s="23"/>
      <c r="M43" s="23"/>
      <c r="N43" s="27"/>
      <c r="O43" s="23"/>
      <c r="P43" s="23"/>
      <c r="Q43" s="27"/>
      <c r="R43" s="27"/>
      <c r="S43" s="27"/>
    </row>
    <row r="44" spans="1:19" x14ac:dyDescent="0.25">
      <c r="A44" s="876"/>
      <c r="B44" s="4"/>
      <c r="C44" s="23"/>
      <c r="D44" s="23"/>
      <c r="E44" s="23"/>
      <c r="F44" s="23"/>
      <c r="G44" s="23"/>
      <c r="H44" s="23"/>
      <c r="I44" s="23"/>
      <c r="J44" s="23"/>
      <c r="K44" s="23"/>
      <c r="L44" s="23"/>
      <c r="M44" s="23"/>
      <c r="N44" s="27"/>
      <c r="O44" s="23"/>
      <c r="P44" s="23"/>
      <c r="Q44" s="27"/>
      <c r="R44" s="27"/>
      <c r="S44" s="27"/>
    </row>
    <row r="45" spans="1:19" x14ac:dyDescent="0.25">
      <c r="A45" s="876"/>
      <c r="B45" s="4"/>
      <c r="C45" s="23"/>
      <c r="D45" s="23"/>
      <c r="E45" s="23"/>
      <c r="F45" s="23"/>
      <c r="G45" s="23"/>
      <c r="H45" s="23"/>
      <c r="I45" s="23"/>
      <c r="J45" s="23"/>
      <c r="K45" s="23"/>
      <c r="L45" s="23"/>
      <c r="M45" s="23"/>
      <c r="N45" s="27"/>
      <c r="O45" s="23"/>
      <c r="P45" s="23"/>
      <c r="Q45" s="27"/>
      <c r="R45" s="27"/>
      <c r="S45" s="27"/>
    </row>
    <row r="46" spans="1:19" x14ac:dyDescent="0.25">
      <c r="A46" s="876"/>
      <c r="B46" s="4"/>
      <c r="C46" s="23"/>
      <c r="D46" s="23"/>
      <c r="E46" s="23"/>
      <c r="F46" s="23"/>
      <c r="G46" s="23"/>
      <c r="H46" s="23"/>
      <c r="I46" s="23"/>
      <c r="J46" s="23"/>
      <c r="K46" s="23"/>
      <c r="L46" s="23"/>
      <c r="M46" s="23"/>
      <c r="N46" s="27"/>
      <c r="O46" s="23"/>
      <c r="P46" s="23"/>
      <c r="Q46" s="27"/>
      <c r="R46" s="27"/>
      <c r="S46" s="27"/>
    </row>
    <row r="47" spans="1:19" x14ac:dyDescent="0.25">
      <c r="A47" s="876"/>
      <c r="B47" s="4"/>
      <c r="C47" s="23"/>
      <c r="D47" s="23"/>
      <c r="E47" s="23"/>
      <c r="F47" s="23"/>
      <c r="G47" s="23"/>
      <c r="H47" s="23"/>
      <c r="I47" s="23"/>
      <c r="J47" s="23"/>
      <c r="K47" s="23"/>
      <c r="L47" s="23"/>
      <c r="M47" s="23"/>
      <c r="N47" s="27"/>
      <c r="O47" s="23"/>
      <c r="P47" s="23"/>
      <c r="Q47" s="27"/>
      <c r="R47" s="27"/>
      <c r="S47" s="27"/>
    </row>
    <row r="48" spans="1:19" x14ac:dyDescent="0.25">
      <c r="A48" s="876"/>
      <c r="B48" s="4"/>
      <c r="C48" s="23"/>
      <c r="D48" s="23"/>
      <c r="E48" s="23"/>
      <c r="F48" s="23"/>
      <c r="G48" s="23"/>
      <c r="H48" s="23"/>
      <c r="I48" s="23"/>
      <c r="J48" s="23"/>
      <c r="K48" s="23"/>
      <c r="L48" s="23"/>
      <c r="M48" s="23"/>
      <c r="N48" s="27"/>
      <c r="O48" s="23"/>
      <c r="P48" s="23"/>
      <c r="Q48" s="27"/>
      <c r="R48" s="27"/>
      <c r="S48" s="27"/>
    </row>
    <row r="49" spans="1:19" x14ac:dyDescent="0.25">
      <c r="A49" s="876"/>
      <c r="B49" s="4"/>
      <c r="C49" s="23"/>
      <c r="D49" s="23"/>
      <c r="E49" s="23"/>
      <c r="F49" s="23"/>
      <c r="G49" s="23"/>
      <c r="H49" s="23"/>
      <c r="I49" s="23"/>
      <c r="J49" s="23"/>
      <c r="K49" s="23"/>
      <c r="L49" s="23"/>
      <c r="M49" s="23"/>
      <c r="N49" s="27"/>
      <c r="O49" s="23"/>
      <c r="P49" s="23"/>
      <c r="Q49" s="27"/>
      <c r="R49" s="27"/>
      <c r="S49" s="27"/>
    </row>
    <row r="50" spans="1:19" x14ac:dyDescent="0.25">
      <c r="A50" s="876"/>
      <c r="B50" s="4"/>
      <c r="C50" s="23"/>
      <c r="D50" s="23"/>
      <c r="E50" s="23"/>
      <c r="F50" s="23"/>
      <c r="G50" s="23"/>
      <c r="H50" s="23"/>
      <c r="I50" s="23"/>
      <c r="J50" s="23"/>
      <c r="K50" s="23"/>
      <c r="L50" s="23"/>
      <c r="M50" s="23"/>
      <c r="N50" s="27"/>
      <c r="O50" s="23"/>
      <c r="P50" s="23"/>
      <c r="Q50" s="27"/>
      <c r="R50" s="27"/>
      <c r="S50" s="27"/>
    </row>
    <row r="51" spans="1:19" x14ac:dyDescent="0.25">
      <c r="A51" s="876"/>
      <c r="B51" s="4"/>
      <c r="C51" s="23"/>
      <c r="D51" s="23"/>
      <c r="E51" s="23"/>
      <c r="F51" s="23"/>
      <c r="G51" s="23"/>
      <c r="H51" s="23"/>
      <c r="I51" s="23"/>
      <c r="J51" s="23"/>
      <c r="K51" s="23"/>
      <c r="L51" s="23"/>
      <c r="M51" s="23"/>
      <c r="N51" s="27"/>
      <c r="O51" s="23"/>
      <c r="P51" s="23"/>
      <c r="Q51" s="27"/>
      <c r="R51" s="27"/>
      <c r="S51" s="27"/>
    </row>
    <row r="52" spans="1:19" x14ac:dyDescent="0.25">
      <c r="A52" s="876"/>
      <c r="B52" s="4"/>
      <c r="C52" s="23"/>
      <c r="D52" s="23"/>
      <c r="E52" s="23"/>
      <c r="F52" s="23"/>
      <c r="G52" s="23"/>
      <c r="H52" s="23"/>
      <c r="I52" s="23"/>
      <c r="J52" s="23"/>
      <c r="K52" s="23"/>
      <c r="L52" s="23"/>
      <c r="M52" s="23"/>
      <c r="N52" s="27"/>
      <c r="O52" s="23"/>
      <c r="P52" s="23"/>
      <c r="Q52" s="27"/>
      <c r="R52" s="27"/>
      <c r="S52" s="27"/>
    </row>
    <row r="53" spans="1:19" x14ac:dyDescent="0.25">
      <c r="A53" s="876"/>
      <c r="B53" s="4"/>
      <c r="C53" s="23"/>
      <c r="D53" s="23"/>
      <c r="E53" s="23"/>
      <c r="F53" s="23"/>
      <c r="G53" s="23"/>
      <c r="H53" s="23"/>
      <c r="I53" s="23"/>
      <c r="J53" s="23"/>
      <c r="K53" s="23"/>
      <c r="L53" s="23"/>
      <c r="M53" s="23"/>
      <c r="N53" s="27"/>
      <c r="O53" s="23"/>
      <c r="P53" s="23"/>
      <c r="Q53" s="27"/>
      <c r="R53" s="27"/>
      <c r="S53" s="27"/>
    </row>
    <row r="54" spans="1:19" x14ac:dyDescent="0.25">
      <c r="A54" s="876"/>
      <c r="B54" s="4"/>
      <c r="C54" s="23"/>
      <c r="D54" s="23"/>
      <c r="E54" s="23"/>
      <c r="F54" s="23"/>
      <c r="G54" s="23"/>
      <c r="H54" s="23"/>
      <c r="I54" s="23"/>
      <c r="J54" s="23"/>
      <c r="K54" s="23"/>
      <c r="L54" s="23"/>
      <c r="M54" s="23"/>
      <c r="N54" s="27"/>
      <c r="O54" s="23"/>
      <c r="P54" s="23"/>
      <c r="Q54" s="27"/>
      <c r="R54" s="27"/>
      <c r="S54" s="27"/>
    </row>
    <row r="55" spans="1:19" x14ac:dyDescent="0.25">
      <c r="A55" s="876"/>
      <c r="B55" s="4"/>
      <c r="C55" s="23"/>
      <c r="D55" s="23"/>
      <c r="E55" s="23"/>
      <c r="F55" s="23"/>
      <c r="G55" s="23"/>
      <c r="H55" s="23"/>
      <c r="I55" s="23"/>
      <c r="J55" s="23"/>
      <c r="K55" s="23"/>
      <c r="L55" s="23"/>
      <c r="M55" s="23"/>
      <c r="N55" s="27"/>
      <c r="O55" s="23"/>
      <c r="P55" s="23"/>
      <c r="Q55" s="27"/>
      <c r="R55" s="27"/>
      <c r="S55" s="27"/>
    </row>
    <row r="56" spans="1:19" x14ac:dyDescent="0.25">
      <c r="A56" s="876"/>
      <c r="B56" s="4"/>
      <c r="C56" s="23"/>
      <c r="D56" s="23"/>
      <c r="E56" s="23"/>
      <c r="F56" s="23"/>
      <c r="G56" s="23"/>
      <c r="H56" s="23"/>
      <c r="I56" s="23"/>
      <c r="J56" s="23"/>
      <c r="K56" s="23"/>
      <c r="L56" s="23"/>
      <c r="M56" s="23"/>
      <c r="N56" s="27"/>
      <c r="O56" s="23"/>
      <c r="P56" s="23"/>
      <c r="Q56" s="27"/>
      <c r="R56" s="27"/>
      <c r="S56" s="27"/>
    </row>
    <row r="57" spans="1:19" x14ac:dyDescent="0.25">
      <c r="A57" s="876"/>
      <c r="B57" s="4"/>
      <c r="C57" s="23"/>
      <c r="D57" s="23"/>
      <c r="E57" s="23"/>
      <c r="F57" s="23"/>
      <c r="G57" s="23"/>
      <c r="H57" s="23"/>
      <c r="I57" s="23"/>
      <c r="J57" s="23"/>
      <c r="K57" s="23"/>
      <c r="L57" s="23"/>
      <c r="M57" s="23"/>
      <c r="N57" s="27"/>
      <c r="O57" s="23"/>
      <c r="P57" s="23"/>
      <c r="Q57" s="27"/>
      <c r="R57" s="27"/>
      <c r="S57" s="27"/>
    </row>
    <row r="58" spans="1:19" x14ac:dyDescent="0.25">
      <c r="A58" s="876"/>
      <c r="B58" s="4"/>
      <c r="C58" s="23"/>
      <c r="D58" s="23"/>
      <c r="E58" s="23"/>
      <c r="F58" s="23"/>
      <c r="G58" s="23"/>
      <c r="H58" s="23"/>
      <c r="I58" s="23"/>
      <c r="J58" s="23"/>
      <c r="K58" s="23"/>
      <c r="L58" s="23"/>
      <c r="M58" s="23"/>
      <c r="N58" s="27"/>
      <c r="O58" s="23"/>
      <c r="P58" s="23"/>
      <c r="Q58" s="27"/>
      <c r="R58" s="27"/>
      <c r="S58" s="27"/>
    </row>
    <row r="59" spans="1:19" x14ac:dyDescent="0.25">
      <c r="A59" s="876"/>
      <c r="B59" s="4"/>
      <c r="C59" s="23"/>
      <c r="D59" s="23"/>
      <c r="E59" s="23"/>
      <c r="F59" s="23"/>
      <c r="G59" s="23"/>
      <c r="H59" s="23"/>
      <c r="I59" s="23"/>
      <c r="J59" s="23"/>
      <c r="K59" s="23"/>
      <c r="L59" s="23"/>
      <c r="M59" s="23"/>
      <c r="N59" s="27"/>
      <c r="O59" s="23"/>
      <c r="P59" s="23"/>
      <c r="Q59" s="27"/>
      <c r="R59" s="27"/>
      <c r="S59" s="27"/>
    </row>
    <row r="60" spans="1:19" x14ac:dyDescent="0.25">
      <c r="A60" s="876"/>
      <c r="B60" s="4"/>
      <c r="C60" s="23"/>
      <c r="D60" s="23"/>
      <c r="E60" s="23"/>
      <c r="F60" s="23"/>
      <c r="G60" s="23"/>
      <c r="H60" s="23"/>
      <c r="I60" s="23"/>
      <c r="J60" s="23"/>
      <c r="K60" s="23"/>
      <c r="L60" s="23"/>
      <c r="M60" s="23"/>
      <c r="N60" s="27"/>
      <c r="O60" s="23"/>
      <c r="P60" s="23"/>
      <c r="Q60" s="27"/>
      <c r="R60" s="27"/>
      <c r="S60" s="27"/>
    </row>
    <row r="61" spans="1:19" x14ac:dyDescent="0.25">
      <c r="A61" s="876"/>
      <c r="B61" s="4"/>
      <c r="C61" s="23"/>
      <c r="D61" s="23"/>
      <c r="E61" s="23"/>
      <c r="F61" s="23"/>
      <c r="G61" s="23"/>
      <c r="H61" s="23"/>
      <c r="I61" s="23"/>
      <c r="J61" s="23"/>
      <c r="K61" s="23"/>
      <c r="L61" s="23"/>
      <c r="M61" s="23"/>
      <c r="N61" s="27"/>
      <c r="O61" s="23"/>
      <c r="P61" s="23"/>
      <c r="Q61" s="27"/>
      <c r="R61" s="27"/>
      <c r="S61" s="27"/>
    </row>
    <row r="62" spans="1:19" x14ac:dyDescent="0.25">
      <c r="A62" s="876"/>
      <c r="B62" s="4"/>
      <c r="C62" s="23"/>
      <c r="D62" s="23"/>
      <c r="E62" s="23"/>
      <c r="F62" s="23"/>
      <c r="G62" s="23"/>
      <c r="H62" s="23"/>
      <c r="I62" s="23"/>
      <c r="J62" s="23"/>
      <c r="K62" s="23"/>
      <c r="L62" s="23"/>
      <c r="M62" s="23"/>
      <c r="N62" s="27"/>
      <c r="O62" s="23"/>
      <c r="P62" s="23"/>
      <c r="Q62" s="27"/>
      <c r="R62" s="27"/>
      <c r="S62" s="27"/>
    </row>
    <row r="63" spans="1:19" x14ac:dyDescent="0.25">
      <c r="A63" s="876"/>
      <c r="B63" s="4"/>
      <c r="C63" s="23"/>
      <c r="D63" s="23"/>
      <c r="E63" s="23"/>
      <c r="F63" s="23"/>
      <c r="G63" s="23"/>
      <c r="H63" s="23"/>
      <c r="I63" s="23"/>
      <c r="J63" s="23"/>
      <c r="K63" s="23"/>
      <c r="L63" s="23"/>
      <c r="M63" s="23"/>
      <c r="N63" s="27"/>
      <c r="O63" s="23"/>
      <c r="P63" s="23"/>
      <c r="Q63" s="27"/>
      <c r="R63" s="27"/>
      <c r="S63" s="27"/>
    </row>
    <row r="64" spans="1:19" x14ac:dyDescent="0.25">
      <c r="A64" s="876"/>
      <c r="B64" s="4"/>
      <c r="C64" s="23"/>
      <c r="D64" s="23"/>
      <c r="E64" s="23"/>
      <c r="F64" s="23"/>
      <c r="G64" s="23"/>
      <c r="H64" s="23"/>
      <c r="I64" s="23"/>
      <c r="J64" s="23"/>
      <c r="K64" s="23"/>
      <c r="L64" s="23"/>
      <c r="M64" s="23"/>
      <c r="N64" s="27"/>
      <c r="O64" s="23"/>
      <c r="P64" s="23"/>
      <c r="Q64" s="27"/>
      <c r="R64" s="27"/>
      <c r="S64" s="27"/>
    </row>
    <row r="65" spans="1:19" x14ac:dyDescent="0.25">
      <c r="A65" s="876"/>
      <c r="B65" s="4"/>
      <c r="C65" s="23"/>
      <c r="D65" s="23"/>
      <c r="E65" s="23"/>
      <c r="F65" s="23"/>
      <c r="G65" s="23"/>
      <c r="H65" s="23"/>
      <c r="I65" s="23"/>
      <c r="J65" s="23"/>
      <c r="K65" s="23"/>
      <c r="L65" s="23"/>
      <c r="M65" s="23"/>
      <c r="N65" s="27"/>
      <c r="O65" s="23"/>
      <c r="P65" s="23"/>
      <c r="Q65" s="27"/>
      <c r="R65" s="27"/>
      <c r="S65" s="27"/>
    </row>
    <row r="66" spans="1:19" x14ac:dyDescent="0.25">
      <c r="A66" s="876"/>
      <c r="B66" s="4"/>
      <c r="C66" s="23"/>
      <c r="D66" s="23"/>
      <c r="E66" s="23"/>
      <c r="F66" s="23"/>
      <c r="G66" s="23"/>
      <c r="H66" s="23"/>
      <c r="I66" s="23"/>
      <c r="J66" s="23"/>
      <c r="K66" s="23"/>
      <c r="L66" s="23"/>
      <c r="M66" s="23"/>
      <c r="N66" s="27"/>
      <c r="O66" s="23"/>
      <c r="P66" s="23"/>
      <c r="Q66" s="27"/>
      <c r="R66" s="27"/>
      <c r="S66" s="27"/>
    </row>
    <row r="67" spans="1:19" x14ac:dyDescent="0.25">
      <c r="A67" s="876"/>
      <c r="B67" s="4"/>
      <c r="C67" s="23"/>
      <c r="D67" s="23"/>
      <c r="E67" s="23"/>
      <c r="F67" s="23"/>
      <c r="G67" s="23"/>
      <c r="H67" s="23"/>
      <c r="I67" s="23"/>
      <c r="J67" s="23"/>
      <c r="K67" s="23"/>
      <c r="L67" s="23"/>
      <c r="M67" s="23"/>
      <c r="N67" s="27"/>
      <c r="O67" s="23"/>
      <c r="P67" s="23"/>
      <c r="Q67" s="27"/>
      <c r="R67" s="27"/>
      <c r="S67" s="27"/>
    </row>
    <row r="68" spans="1:19" x14ac:dyDescent="0.25">
      <c r="A68" s="876"/>
      <c r="B68" s="4"/>
      <c r="C68" s="23"/>
      <c r="D68" s="23"/>
      <c r="E68" s="23"/>
      <c r="F68" s="23"/>
      <c r="G68" s="23"/>
      <c r="H68" s="23"/>
      <c r="I68" s="23"/>
      <c r="J68" s="23"/>
      <c r="K68" s="23"/>
      <c r="L68" s="23"/>
      <c r="M68" s="23"/>
      <c r="N68" s="27"/>
      <c r="O68" s="23"/>
      <c r="P68" s="23"/>
      <c r="Q68" s="27"/>
      <c r="R68" s="27"/>
      <c r="S68" s="27"/>
    </row>
    <row r="69" spans="1:19" x14ac:dyDescent="0.25">
      <c r="A69" s="876"/>
      <c r="B69" s="4"/>
      <c r="C69" s="23"/>
      <c r="D69" s="23"/>
      <c r="E69" s="23"/>
      <c r="F69" s="23"/>
      <c r="G69" s="23"/>
      <c r="H69" s="23"/>
      <c r="I69" s="23"/>
      <c r="J69" s="23"/>
      <c r="K69" s="23"/>
      <c r="L69" s="23"/>
      <c r="M69" s="23"/>
      <c r="N69" s="27"/>
      <c r="O69" s="23"/>
      <c r="P69" s="23"/>
      <c r="Q69" s="27"/>
      <c r="R69" s="27"/>
      <c r="S69" s="27"/>
    </row>
    <row r="70" spans="1:19" x14ac:dyDescent="0.25">
      <c r="A70" s="876"/>
      <c r="B70" s="4"/>
      <c r="C70" s="23"/>
      <c r="D70" s="23"/>
      <c r="E70" s="23"/>
      <c r="F70" s="23"/>
      <c r="G70" s="23"/>
      <c r="H70" s="23"/>
      <c r="I70" s="23"/>
      <c r="J70" s="23"/>
      <c r="K70" s="23"/>
      <c r="L70" s="23"/>
      <c r="M70" s="23"/>
      <c r="N70" s="27"/>
      <c r="O70" s="23"/>
      <c r="P70" s="23"/>
      <c r="Q70" s="27"/>
      <c r="R70" s="27"/>
      <c r="S70" s="27"/>
    </row>
    <row r="71" spans="1:19" x14ac:dyDescent="0.25">
      <c r="A71" s="876"/>
      <c r="B71" s="4"/>
      <c r="C71" s="23"/>
      <c r="D71" s="23"/>
      <c r="E71" s="23"/>
      <c r="F71" s="23"/>
      <c r="G71" s="23"/>
      <c r="H71" s="23"/>
      <c r="I71" s="23"/>
      <c r="J71" s="23"/>
      <c r="K71" s="23"/>
      <c r="L71" s="23"/>
      <c r="M71" s="23"/>
      <c r="N71" s="27"/>
      <c r="O71" s="23"/>
      <c r="P71" s="23"/>
      <c r="Q71" s="27"/>
      <c r="R71" s="27"/>
      <c r="S71" s="27"/>
    </row>
    <row r="72" spans="1:19" x14ac:dyDescent="0.25">
      <c r="A72" s="876"/>
      <c r="B72" s="4"/>
      <c r="C72" s="23"/>
      <c r="D72" s="23"/>
      <c r="E72" s="23"/>
      <c r="F72" s="23"/>
      <c r="G72" s="23"/>
      <c r="H72" s="23"/>
      <c r="I72" s="23"/>
      <c r="J72" s="23"/>
      <c r="K72" s="23"/>
      <c r="L72" s="23"/>
      <c r="M72" s="23"/>
      <c r="N72" s="27"/>
      <c r="O72" s="23"/>
      <c r="P72" s="23"/>
      <c r="Q72" s="27"/>
      <c r="R72" s="27"/>
      <c r="S72" s="27"/>
    </row>
    <row r="73" spans="1:19" x14ac:dyDescent="0.25">
      <c r="A73" s="876"/>
      <c r="B73" s="4"/>
      <c r="C73" s="23"/>
      <c r="D73" s="23"/>
      <c r="E73" s="23"/>
      <c r="F73" s="23"/>
      <c r="G73" s="23"/>
      <c r="H73" s="23"/>
      <c r="I73" s="23"/>
      <c r="J73" s="23"/>
      <c r="K73" s="23"/>
      <c r="L73" s="23"/>
      <c r="M73" s="23"/>
      <c r="N73" s="27"/>
      <c r="O73" s="23"/>
      <c r="P73" s="23"/>
      <c r="Q73" s="27"/>
      <c r="R73" s="27"/>
      <c r="S73" s="27"/>
    </row>
    <row r="74" spans="1:19" x14ac:dyDescent="0.25">
      <c r="A74" s="876"/>
      <c r="B74" s="4"/>
      <c r="C74" s="23"/>
      <c r="D74" s="23"/>
      <c r="E74" s="23"/>
      <c r="F74" s="23"/>
      <c r="G74" s="23"/>
      <c r="H74" s="23"/>
      <c r="I74" s="23"/>
      <c r="J74" s="23"/>
      <c r="K74" s="23"/>
      <c r="L74" s="23"/>
      <c r="M74" s="23"/>
      <c r="N74" s="27"/>
      <c r="O74" s="23"/>
      <c r="P74" s="23"/>
      <c r="Q74" s="27"/>
      <c r="R74" s="27"/>
      <c r="S74" s="27"/>
    </row>
    <row r="75" spans="1:19" x14ac:dyDescent="0.25">
      <c r="A75" s="876"/>
      <c r="B75" s="4"/>
      <c r="C75" s="23"/>
      <c r="D75" s="23"/>
      <c r="E75" s="23"/>
      <c r="F75" s="23"/>
      <c r="G75" s="23"/>
      <c r="H75" s="23"/>
      <c r="I75" s="23"/>
      <c r="J75" s="23"/>
      <c r="K75" s="23"/>
      <c r="L75" s="23"/>
      <c r="M75" s="23"/>
      <c r="N75" s="27"/>
      <c r="O75" s="23"/>
      <c r="P75" s="23"/>
      <c r="Q75" s="27"/>
      <c r="R75" s="27"/>
      <c r="S75" s="27"/>
    </row>
    <row r="76" spans="1:19" x14ac:dyDescent="0.25">
      <c r="A76" s="876"/>
      <c r="B76" s="4"/>
      <c r="C76" s="23"/>
      <c r="D76" s="23"/>
      <c r="E76" s="23"/>
      <c r="F76" s="23"/>
      <c r="G76" s="23"/>
      <c r="H76" s="23"/>
      <c r="I76" s="23"/>
      <c r="J76" s="23"/>
      <c r="K76" s="23"/>
      <c r="L76" s="23"/>
      <c r="M76" s="23"/>
      <c r="N76" s="27"/>
      <c r="O76" s="23"/>
      <c r="P76" s="23"/>
      <c r="Q76" s="27"/>
      <c r="R76" s="27"/>
      <c r="S76" s="27"/>
    </row>
    <row r="77" spans="1:19" x14ac:dyDescent="0.25">
      <c r="A77" s="876"/>
      <c r="B77" s="4"/>
      <c r="C77" s="23"/>
      <c r="D77" s="23"/>
      <c r="E77" s="23"/>
      <c r="F77" s="23"/>
      <c r="G77" s="23"/>
      <c r="H77" s="23"/>
      <c r="I77" s="23"/>
      <c r="J77" s="23"/>
      <c r="K77" s="23"/>
      <c r="L77" s="23"/>
      <c r="M77" s="23"/>
      <c r="N77" s="27"/>
      <c r="O77" s="23"/>
      <c r="P77" s="23"/>
      <c r="Q77" s="27"/>
      <c r="R77" s="27"/>
      <c r="S77" s="27"/>
    </row>
    <row r="78" spans="1:19" x14ac:dyDescent="0.25">
      <c r="A78" s="876"/>
      <c r="B78" s="4"/>
      <c r="C78" s="23"/>
      <c r="D78" s="23"/>
      <c r="E78" s="23"/>
      <c r="F78" s="23"/>
      <c r="G78" s="23"/>
      <c r="H78" s="23"/>
      <c r="I78" s="23"/>
      <c r="J78" s="23"/>
      <c r="K78" s="23"/>
      <c r="L78" s="23"/>
      <c r="M78" s="23"/>
      <c r="N78" s="27"/>
      <c r="O78" s="23"/>
      <c r="P78" s="23"/>
      <c r="Q78" s="27"/>
      <c r="R78" s="27"/>
      <c r="S78" s="27"/>
    </row>
    <row r="79" spans="1:19" x14ac:dyDescent="0.25">
      <c r="A79" s="876"/>
      <c r="B79" s="4"/>
      <c r="C79" s="23"/>
      <c r="D79" s="23"/>
      <c r="E79" s="23"/>
      <c r="F79" s="23"/>
      <c r="G79" s="23"/>
      <c r="H79" s="23"/>
      <c r="I79" s="23"/>
      <c r="J79" s="23"/>
      <c r="K79" s="23"/>
      <c r="L79" s="23"/>
      <c r="M79" s="23"/>
      <c r="N79" s="27"/>
      <c r="O79" s="23"/>
      <c r="P79" s="23"/>
      <c r="Q79" s="27"/>
      <c r="R79" s="27"/>
      <c r="S79" s="27"/>
    </row>
    <row r="80" spans="1:19" x14ac:dyDescent="0.25">
      <c r="A80" s="876"/>
      <c r="B80" s="4"/>
      <c r="C80" s="23"/>
      <c r="D80" s="23"/>
      <c r="E80" s="23"/>
      <c r="F80" s="23"/>
      <c r="G80" s="23"/>
      <c r="H80" s="23"/>
      <c r="I80" s="23"/>
      <c r="J80" s="23"/>
      <c r="K80" s="23"/>
      <c r="L80" s="23"/>
      <c r="M80" s="23"/>
      <c r="N80" s="4"/>
      <c r="O80" s="23"/>
      <c r="P80" s="23"/>
      <c r="Q80" s="4"/>
      <c r="R80" s="4"/>
      <c r="S80" s="4"/>
    </row>
    <row r="81" spans="1:19" x14ac:dyDescent="0.25">
      <c r="A81" s="876"/>
      <c r="B81" s="4"/>
      <c r="C81" s="23"/>
      <c r="D81" s="23"/>
      <c r="E81" s="23"/>
      <c r="F81" s="23"/>
      <c r="G81" s="23"/>
      <c r="H81" s="23"/>
      <c r="I81" s="23"/>
      <c r="J81" s="23"/>
      <c r="K81" s="23"/>
      <c r="L81" s="23"/>
      <c r="M81" s="23"/>
      <c r="N81" s="4"/>
      <c r="O81" s="23"/>
      <c r="P81" s="23"/>
      <c r="Q81" s="4"/>
      <c r="R81" s="4"/>
      <c r="S81" s="4"/>
    </row>
    <row r="82" spans="1:19" x14ac:dyDescent="0.25">
      <c r="A82" s="876"/>
      <c r="B82" s="4"/>
      <c r="C82" s="23"/>
      <c r="D82" s="23"/>
      <c r="E82" s="23"/>
      <c r="F82" s="23"/>
      <c r="G82" s="23"/>
      <c r="H82" s="23"/>
      <c r="I82" s="23"/>
      <c r="J82" s="23"/>
      <c r="K82" s="23"/>
      <c r="L82" s="23"/>
      <c r="M82" s="23"/>
      <c r="N82" s="4"/>
      <c r="O82" s="23"/>
      <c r="P82" s="23"/>
      <c r="Q82" s="4"/>
      <c r="R82" s="4"/>
      <c r="S82" s="4"/>
    </row>
    <row r="83" spans="1:19" x14ac:dyDescent="0.25">
      <c r="A83" s="876"/>
      <c r="B83" s="4"/>
      <c r="C83" s="23"/>
      <c r="D83" s="23"/>
      <c r="E83" s="23"/>
      <c r="F83" s="23"/>
      <c r="G83" s="23"/>
      <c r="H83" s="23"/>
      <c r="I83" s="23"/>
      <c r="J83" s="23"/>
      <c r="K83" s="23"/>
      <c r="L83" s="23"/>
      <c r="M83" s="23"/>
      <c r="N83" s="4"/>
      <c r="O83" s="23"/>
      <c r="P83" s="23"/>
      <c r="Q83" s="4"/>
      <c r="R83" s="4"/>
      <c r="S83" s="4"/>
    </row>
    <row r="84" spans="1:19" x14ac:dyDescent="0.25">
      <c r="A84" s="876"/>
      <c r="B84" s="4"/>
      <c r="C84" s="23"/>
      <c r="D84" s="23"/>
      <c r="E84" s="23"/>
      <c r="F84" s="23"/>
      <c r="G84" s="23"/>
      <c r="H84" s="23"/>
      <c r="I84" s="23"/>
      <c r="J84" s="23"/>
      <c r="K84" s="23"/>
      <c r="L84" s="23"/>
      <c r="M84" s="23"/>
      <c r="N84" s="4"/>
      <c r="O84" s="23"/>
      <c r="P84" s="23"/>
      <c r="Q84" s="4"/>
      <c r="R84" s="4"/>
      <c r="S84" s="4"/>
    </row>
    <row r="85" spans="1:19" x14ac:dyDescent="0.25">
      <c r="A85" s="876"/>
      <c r="B85" s="4"/>
      <c r="C85" s="23"/>
      <c r="D85" s="23"/>
      <c r="E85" s="23"/>
      <c r="F85" s="23"/>
      <c r="G85" s="23"/>
      <c r="H85" s="23"/>
      <c r="I85" s="23"/>
      <c r="J85" s="23"/>
      <c r="K85" s="23"/>
      <c r="L85" s="23"/>
      <c r="M85" s="23"/>
      <c r="N85" s="4"/>
      <c r="O85" s="23"/>
      <c r="P85" s="23"/>
      <c r="Q85" s="4"/>
      <c r="R85" s="4"/>
      <c r="S85" s="4"/>
    </row>
    <row r="86" spans="1:19" x14ac:dyDescent="0.25">
      <c r="A86" s="876"/>
      <c r="B86" s="4"/>
      <c r="C86" s="23"/>
      <c r="D86" s="23"/>
      <c r="E86" s="23"/>
      <c r="F86" s="23"/>
      <c r="G86" s="23"/>
      <c r="H86" s="23"/>
      <c r="I86" s="23"/>
      <c r="J86" s="23"/>
      <c r="K86" s="23"/>
      <c r="L86" s="23"/>
      <c r="M86" s="23"/>
      <c r="N86" s="4"/>
      <c r="O86" s="23"/>
      <c r="P86" s="23"/>
      <c r="Q86" s="4"/>
      <c r="R86" s="4"/>
      <c r="S86" s="4"/>
    </row>
    <row r="87" spans="1:19" x14ac:dyDescent="0.25">
      <c r="A87" s="876"/>
      <c r="B87" s="4"/>
      <c r="C87" s="23"/>
      <c r="D87" s="23"/>
      <c r="E87" s="23"/>
      <c r="F87" s="23"/>
      <c r="G87" s="23"/>
      <c r="H87" s="23"/>
      <c r="I87" s="23"/>
      <c r="J87" s="23"/>
      <c r="K87" s="23"/>
      <c r="L87" s="23"/>
      <c r="M87" s="23"/>
      <c r="N87" s="4"/>
      <c r="O87" s="23"/>
      <c r="P87" s="23"/>
      <c r="Q87" s="4"/>
      <c r="R87" s="4"/>
      <c r="S87" s="4"/>
    </row>
    <row r="88" spans="1:19" x14ac:dyDescent="0.25">
      <c r="A88" s="876"/>
      <c r="B88" s="4"/>
      <c r="C88" s="23"/>
      <c r="D88" s="23"/>
      <c r="E88" s="23"/>
      <c r="F88" s="23"/>
      <c r="G88" s="23"/>
      <c r="H88" s="23"/>
      <c r="I88" s="23"/>
      <c r="J88" s="23"/>
      <c r="K88" s="23"/>
      <c r="L88" s="23"/>
      <c r="M88" s="23"/>
      <c r="N88" s="4"/>
      <c r="O88" s="23"/>
      <c r="P88" s="23"/>
      <c r="Q88" s="4"/>
      <c r="R88" s="4"/>
      <c r="S88" s="4"/>
    </row>
    <row r="89" spans="1:19" x14ac:dyDescent="0.25">
      <c r="A89" s="876"/>
      <c r="B89" s="4"/>
      <c r="C89" s="23"/>
      <c r="D89" s="23"/>
      <c r="E89" s="23"/>
      <c r="F89" s="23"/>
      <c r="G89" s="23"/>
      <c r="H89" s="23"/>
      <c r="I89" s="23"/>
      <c r="J89" s="23"/>
      <c r="K89" s="23"/>
      <c r="L89" s="23"/>
      <c r="M89" s="23"/>
      <c r="N89" s="4"/>
      <c r="O89" s="23"/>
      <c r="P89" s="23"/>
      <c r="Q89" s="4"/>
      <c r="R89" s="4"/>
      <c r="S89" s="4"/>
    </row>
    <row r="90" spans="1:19" x14ac:dyDescent="0.25">
      <c r="A90" s="876"/>
      <c r="B90" s="4"/>
      <c r="C90" s="23"/>
      <c r="D90" s="23"/>
      <c r="E90" s="23"/>
      <c r="F90" s="23"/>
      <c r="G90" s="23"/>
      <c r="H90" s="23"/>
      <c r="I90" s="23"/>
      <c r="J90" s="23"/>
      <c r="K90" s="23"/>
      <c r="L90" s="23"/>
      <c r="M90" s="23"/>
      <c r="N90" s="4"/>
      <c r="O90" s="23"/>
      <c r="P90" s="23"/>
      <c r="Q90" s="4"/>
      <c r="R90" s="4"/>
      <c r="S90" s="4"/>
    </row>
    <row r="91" spans="1:19" x14ac:dyDescent="0.25">
      <c r="A91" s="876"/>
      <c r="B91" s="4"/>
      <c r="C91" s="23"/>
      <c r="D91" s="23"/>
      <c r="E91" s="23"/>
      <c r="F91" s="23"/>
      <c r="G91" s="23"/>
      <c r="H91" s="23"/>
      <c r="I91" s="23"/>
      <c r="J91" s="23"/>
      <c r="K91" s="23"/>
      <c r="L91" s="23"/>
      <c r="M91" s="23"/>
      <c r="N91" s="4"/>
      <c r="O91" s="23"/>
      <c r="P91" s="23"/>
      <c r="Q91" s="4"/>
      <c r="R91" s="4"/>
      <c r="S91" s="4"/>
    </row>
    <row r="92" spans="1:19" x14ac:dyDescent="0.25">
      <c r="A92" s="876"/>
      <c r="B92" s="4"/>
      <c r="C92" s="23"/>
      <c r="D92" s="23"/>
      <c r="E92" s="23"/>
      <c r="F92" s="23"/>
      <c r="G92" s="23"/>
      <c r="H92" s="23"/>
      <c r="I92" s="23"/>
      <c r="J92" s="23"/>
      <c r="K92" s="23"/>
      <c r="L92" s="23"/>
      <c r="M92" s="23"/>
      <c r="N92" s="4"/>
      <c r="O92" s="23"/>
      <c r="P92" s="23"/>
      <c r="Q92" s="4"/>
      <c r="R92" s="4"/>
      <c r="S92" s="4"/>
    </row>
    <row r="93" spans="1:19" x14ac:dyDescent="0.25">
      <c r="A93" s="876"/>
      <c r="B93" s="4"/>
      <c r="C93" s="23"/>
      <c r="D93" s="23"/>
      <c r="E93" s="23"/>
      <c r="F93" s="23"/>
      <c r="G93" s="23"/>
      <c r="H93" s="23"/>
      <c r="I93" s="23"/>
      <c r="J93" s="23"/>
      <c r="K93" s="23"/>
      <c r="L93" s="23"/>
      <c r="M93" s="23"/>
      <c r="N93" s="4"/>
      <c r="O93" s="23"/>
      <c r="P93" s="23"/>
      <c r="Q93" s="4"/>
      <c r="R93" s="4"/>
      <c r="S93" s="4"/>
    </row>
    <row r="94" spans="1:19" x14ac:dyDescent="0.25">
      <c r="A94" s="876"/>
      <c r="B94" s="4"/>
      <c r="C94" s="23"/>
      <c r="D94" s="23"/>
      <c r="E94" s="23"/>
      <c r="F94" s="23"/>
      <c r="G94" s="23"/>
      <c r="H94" s="23"/>
      <c r="I94" s="23"/>
      <c r="J94" s="23"/>
      <c r="K94" s="23"/>
      <c r="L94" s="23"/>
      <c r="M94" s="23"/>
      <c r="N94" s="4"/>
      <c r="O94" s="23"/>
      <c r="P94" s="23"/>
      <c r="Q94" s="4"/>
      <c r="R94" s="4"/>
      <c r="S94" s="4"/>
    </row>
    <row r="95" spans="1:19" x14ac:dyDescent="0.25">
      <c r="A95" s="876"/>
      <c r="B95" s="4"/>
      <c r="C95" s="23"/>
      <c r="D95" s="23"/>
      <c r="E95" s="23"/>
      <c r="F95" s="23"/>
      <c r="G95" s="23"/>
      <c r="H95" s="23"/>
      <c r="I95" s="23"/>
      <c r="J95" s="23"/>
      <c r="K95" s="23"/>
      <c r="L95" s="23"/>
      <c r="M95" s="23"/>
      <c r="N95" s="4"/>
      <c r="O95" s="23"/>
      <c r="P95" s="23"/>
      <c r="Q95" s="4"/>
      <c r="R95" s="4"/>
      <c r="S95" s="4"/>
    </row>
    <row r="96" spans="1:19" x14ac:dyDescent="0.25">
      <c r="A96" s="876"/>
      <c r="B96" s="4"/>
      <c r="C96" s="23"/>
      <c r="D96" s="23"/>
      <c r="E96" s="23"/>
      <c r="F96" s="23"/>
      <c r="G96" s="23"/>
      <c r="H96" s="23"/>
      <c r="I96" s="23"/>
      <c r="J96" s="23"/>
      <c r="K96" s="23"/>
      <c r="L96" s="23"/>
      <c r="M96" s="23"/>
      <c r="N96" s="4"/>
      <c r="O96" s="23"/>
      <c r="P96" s="23"/>
      <c r="Q96" s="4"/>
      <c r="R96" s="4"/>
      <c r="S96" s="4"/>
    </row>
    <row r="97" spans="1:19" x14ac:dyDescent="0.25">
      <c r="A97" s="876"/>
      <c r="B97" s="4"/>
      <c r="C97" s="23"/>
      <c r="D97" s="23"/>
      <c r="E97" s="23"/>
      <c r="F97" s="23"/>
      <c r="G97" s="23"/>
      <c r="H97" s="23"/>
      <c r="I97" s="23"/>
      <c r="J97" s="23"/>
      <c r="K97" s="23"/>
      <c r="L97" s="23"/>
      <c r="M97" s="23"/>
      <c r="N97" s="4"/>
      <c r="O97" s="23"/>
      <c r="P97" s="23"/>
      <c r="Q97" s="4"/>
      <c r="R97" s="4"/>
      <c r="S97" s="4"/>
    </row>
    <row r="98" spans="1:19" x14ac:dyDescent="0.25">
      <c r="A98" s="876"/>
      <c r="B98" s="4"/>
      <c r="C98" s="23"/>
      <c r="D98" s="23"/>
      <c r="E98" s="23"/>
      <c r="F98" s="23"/>
      <c r="G98" s="23"/>
      <c r="H98" s="23"/>
      <c r="I98" s="23"/>
      <c r="J98" s="23"/>
      <c r="K98" s="23"/>
      <c r="L98" s="23"/>
      <c r="M98" s="23"/>
      <c r="N98" s="4"/>
      <c r="O98" s="23"/>
      <c r="P98" s="23"/>
      <c r="Q98" s="4"/>
      <c r="R98" s="4"/>
      <c r="S98" s="4"/>
    </row>
    <row r="99" spans="1:19" x14ac:dyDescent="0.25">
      <c r="A99" s="876"/>
      <c r="B99" s="4"/>
      <c r="C99" s="23"/>
      <c r="D99" s="23"/>
      <c r="E99" s="23"/>
      <c r="F99" s="23"/>
      <c r="G99" s="23"/>
      <c r="H99" s="23"/>
      <c r="I99" s="23"/>
      <c r="J99" s="23"/>
      <c r="K99" s="23"/>
      <c r="L99" s="23"/>
      <c r="M99" s="23"/>
      <c r="N99" s="4"/>
      <c r="O99" s="23"/>
      <c r="P99" s="23"/>
      <c r="Q99" s="4"/>
      <c r="R99" s="4"/>
      <c r="S99" s="4"/>
    </row>
    <row r="100" spans="1:19" x14ac:dyDescent="0.25">
      <c r="A100" s="876"/>
      <c r="B100" s="4"/>
      <c r="C100" s="23"/>
      <c r="D100" s="23"/>
      <c r="E100" s="23"/>
      <c r="F100" s="23"/>
      <c r="G100" s="23"/>
      <c r="H100" s="23"/>
      <c r="I100" s="23"/>
      <c r="J100" s="23"/>
      <c r="K100" s="23"/>
      <c r="L100" s="23"/>
      <c r="M100" s="23"/>
      <c r="N100" s="4"/>
      <c r="O100" s="23"/>
      <c r="P100" s="23"/>
      <c r="Q100" s="4"/>
      <c r="R100" s="4"/>
      <c r="S100" s="4"/>
    </row>
    <row r="101" spans="1:19" x14ac:dyDescent="0.25">
      <c r="A101" s="876"/>
      <c r="B101" s="4"/>
      <c r="C101" s="23"/>
      <c r="D101" s="23"/>
      <c r="E101" s="23"/>
      <c r="F101" s="23"/>
      <c r="G101" s="23"/>
      <c r="H101" s="23"/>
      <c r="I101" s="23"/>
      <c r="J101" s="23"/>
      <c r="K101" s="23"/>
      <c r="L101" s="23"/>
      <c r="M101" s="23"/>
      <c r="N101" s="4"/>
      <c r="O101" s="23"/>
      <c r="P101" s="23"/>
      <c r="Q101" s="4"/>
      <c r="R101" s="4"/>
      <c r="S101" s="4"/>
    </row>
    <row r="102" spans="1:19" x14ac:dyDescent="0.25">
      <c r="A102" s="876"/>
      <c r="B102" s="4"/>
      <c r="C102" s="23"/>
      <c r="D102" s="23"/>
      <c r="E102" s="23"/>
      <c r="F102" s="23"/>
      <c r="G102" s="23"/>
      <c r="H102" s="23"/>
      <c r="I102" s="23"/>
      <c r="J102" s="23"/>
      <c r="K102" s="23"/>
      <c r="L102" s="23"/>
      <c r="M102" s="23"/>
      <c r="N102" s="4"/>
      <c r="O102" s="23"/>
      <c r="P102" s="23"/>
      <c r="Q102" s="4"/>
      <c r="R102" s="4"/>
      <c r="S102" s="4"/>
    </row>
    <row r="103" spans="1:19" x14ac:dyDescent="0.25">
      <c r="A103" s="876"/>
      <c r="B103" s="4"/>
      <c r="C103" s="23"/>
      <c r="D103" s="23"/>
      <c r="E103" s="23"/>
      <c r="F103" s="23"/>
      <c r="G103" s="23"/>
      <c r="H103" s="23"/>
      <c r="I103" s="23"/>
      <c r="J103" s="23"/>
      <c r="K103" s="23"/>
      <c r="L103" s="23"/>
      <c r="M103" s="23"/>
      <c r="N103" s="4"/>
      <c r="O103" s="23"/>
      <c r="P103" s="23"/>
      <c r="Q103" s="4"/>
      <c r="R103" s="4"/>
      <c r="S103" s="4"/>
    </row>
    <row r="104" spans="1:19" x14ac:dyDescent="0.25">
      <c r="A104" s="876"/>
      <c r="B104" s="4"/>
      <c r="C104" s="23"/>
      <c r="D104" s="23"/>
      <c r="E104" s="23"/>
      <c r="F104" s="23"/>
      <c r="G104" s="23"/>
      <c r="H104" s="23"/>
      <c r="I104" s="23"/>
      <c r="J104" s="23"/>
      <c r="K104" s="23"/>
      <c r="L104" s="23"/>
      <c r="M104" s="23"/>
      <c r="N104" s="4"/>
      <c r="O104" s="23"/>
      <c r="P104" s="23"/>
      <c r="Q104" s="4"/>
      <c r="R104" s="4"/>
      <c r="S104" s="4"/>
    </row>
    <row r="105" spans="1:19" x14ac:dyDescent="0.25">
      <c r="A105" s="876"/>
      <c r="B105" s="4"/>
      <c r="C105" s="23"/>
      <c r="D105" s="23"/>
      <c r="E105" s="23"/>
      <c r="F105" s="23"/>
      <c r="G105" s="23"/>
      <c r="H105" s="23"/>
      <c r="I105" s="23"/>
      <c r="J105" s="23"/>
      <c r="K105" s="23"/>
      <c r="L105" s="23"/>
      <c r="M105" s="23"/>
      <c r="N105" s="4"/>
      <c r="O105" s="23"/>
      <c r="P105" s="23"/>
      <c r="Q105" s="4"/>
      <c r="R105" s="4"/>
      <c r="S105" s="4"/>
    </row>
    <row r="106" spans="1:19" x14ac:dyDescent="0.25">
      <c r="A106" s="876"/>
      <c r="B106" s="4"/>
      <c r="C106" s="23"/>
      <c r="D106" s="23"/>
      <c r="E106" s="23"/>
      <c r="F106" s="23"/>
      <c r="G106" s="23"/>
      <c r="H106" s="23"/>
      <c r="I106" s="23"/>
      <c r="J106" s="23"/>
      <c r="K106" s="23"/>
      <c r="L106" s="23"/>
      <c r="M106" s="23"/>
      <c r="N106" s="4"/>
      <c r="O106" s="23"/>
      <c r="P106" s="23"/>
      <c r="Q106" s="4"/>
      <c r="R106" s="4"/>
      <c r="S106" s="4"/>
    </row>
    <row r="107" spans="1:19" x14ac:dyDescent="0.25">
      <c r="A107" s="876"/>
      <c r="B107" s="4"/>
      <c r="C107" s="23"/>
      <c r="D107" s="23"/>
      <c r="E107" s="23"/>
      <c r="F107" s="23"/>
      <c r="G107" s="23"/>
      <c r="H107" s="23"/>
      <c r="I107" s="23"/>
      <c r="J107" s="23"/>
      <c r="K107" s="23"/>
      <c r="L107" s="23"/>
      <c r="M107" s="23"/>
      <c r="N107" s="4"/>
      <c r="O107" s="23"/>
      <c r="P107" s="23"/>
      <c r="Q107" s="4"/>
      <c r="R107" s="4"/>
      <c r="S107" s="4"/>
    </row>
    <row r="108" spans="1:19" x14ac:dyDescent="0.25">
      <c r="A108" s="876"/>
      <c r="B108" s="4"/>
      <c r="C108" s="23"/>
      <c r="D108" s="23"/>
      <c r="E108" s="23"/>
      <c r="F108" s="23"/>
      <c r="G108" s="23"/>
      <c r="H108" s="23"/>
      <c r="I108" s="23"/>
      <c r="J108" s="23"/>
      <c r="K108" s="23"/>
      <c r="L108" s="23"/>
      <c r="M108" s="23"/>
      <c r="N108" s="4"/>
      <c r="O108" s="23"/>
      <c r="P108" s="23"/>
      <c r="Q108" s="4"/>
      <c r="R108" s="4"/>
      <c r="S108" s="4"/>
    </row>
    <row r="109" spans="1:19" x14ac:dyDescent="0.25">
      <c r="A109" s="876"/>
      <c r="B109" s="4"/>
      <c r="C109" s="23"/>
      <c r="D109" s="23"/>
      <c r="E109" s="23"/>
      <c r="F109" s="23"/>
      <c r="G109" s="23"/>
      <c r="H109" s="23"/>
      <c r="I109" s="23"/>
      <c r="J109" s="23"/>
      <c r="K109" s="23"/>
      <c r="L109" s="23"/>
      <c r="M109" s="23"/>
      <c r="N109" s="4"/>
      <c r="O109" s="23"/>
      <c r="P109" s="23"/>
      <c r="Q109" s="4"/>
      <c r="R109" s="4"/>
      <c r="S109" s="4"/>
    </row>
    <row r="110" spans="1:19" x14ac:dyDescent="0.25">
      <c r="A110" s="876"/>
      <c r="B110" s="4"/>
      <c r="C110" s="23"/>
      <c r="D110" s="23"/>
      <c r="E110" s="23"/>
      <c r="F110" s="23"/>
      <c r="G110" s="23"/>
      <c r="H110" s="23"/>
      <c r="I110" s="23"/>
      <c r="J110" s="23"/>
      <c r="K110" s="23"/>
      <c r="L110" s="23"/>
      <c r="M110" s="23"/>
      <c r="N110" s="4"/>
      <c r="O110" s="23"/>
      <c r="P110" s="23"/>
      <c r="Q110" s="4"/>
      <c r="R110" s="4"/>
      <c r="S110" s="4"/>
    </row>
    <row r="111" spans="1:19" x14ac:dyDescent="0.25">
      <c r="A111" s="876"/>
      <c r="B111" s="4"/>
      <c r="C111" s="23"/>
      <c r="D111" s="23"/>
      <c r="E111" s="23"/>
      <c r="F111" s="23"/>
      <c r="G111" s="23"/>
      <c r="H111" s="23"/>
      <c r="I111" s="23"/>
      <c r="J111" s="23"/>
      <c r="K111" s="23"/>
      <c r="L111" s="23"/>
      <c r="M111" s="23"/>
      <c r="N111" s="4"/>
      <c r="O111" s="23"/>
      <c r="P111" s="23"/>
      <c r="Q111" s="4"/>
      <c r="R111" s="4"/>
      <c r="S111" s="4"/>
    </row>
    <row r="112" spans="1:19" x14ac:dyDescent="0.25">
      <c r="A112" s="876"/>
      <c r="B112" s="4"/>
      <c r="C112" s="23"/>
      <c r="D112" s="23"/>
      <c r="E112" s="23"/>
      <c r="F112" s="23"/>
      <c r="G112" s="23"/>
      <c r="H112" s="23"/>
      <c r="I112" s="23"/>
      <c r="J112" s="23"/>
      <c r="K112" s="23"/>
      <c r="L112" s="23"/>
      <c r="M112" s="23"/>
      <c r="N112" s="4"/>
      <c r="O112" s="23"/>
      <c r="P112" s="23"/>
      <c r="Q112" s="4"/>
      <c r="R112" s="4"/>
      <c r="S112" s="4"/>
    </row>
    <row r="113" spans="1:19" x14ac:dyDescent="0.25">
      <c r="A113" s="876"/>
      <c r="B113" s="4"/>
      <c r="C113" s="23"/>
      <c r="D113" s="23"/>
      <c r="E113" s="23"/>
      <c r="F113" s="23"/>
      <c r="G113" s="23"/>
      <c r="H113" s="23"/>
      <c r="I113" s="23"/>
      <c r="J113" s="23"/>
      <c r="K113" s="23"/>
      <c r="L113" s="23"/>
      <c r="M113" s="23"/>
      <c r="N113" s="4"/>
      <c r="O113" s="23"/>
      <c r="P113" s="23"/>
      <c r="Q113" s="4"/>
      <c r="R113" s="4"/>
      <c r="S113" s="4"/>
    </row>
    <row r="114" spans="1:19" x14ac:dyDescent="0.25">
      <c r="A114" s="876"/>
      <c r="B114" s="4"/>
      <c r="C114" s="23"/>
      <c r="D114" s="23"/>
      <c r="E114" s="23"/>
      <c r="F114" s="23"/>
      <c r="G114" s="23"/>
      <c r="H114" s="23"/>
      <c r="I114" s="23"/>
      <c r="J114" s="23"/>
      <c r="K114" s="23"/>
      <c r="L114" s="23"/>
      <c r="M114" s="23"/>
      <c r="N114" s="4"/>
      <c r="O114" s="23"/>
      <c r="P114" s="23"/>
      <c r="Q114" s="4"/>
      <c r="R114" s="4"/>
      <c r="S114" s="4"/>
    </row>
    <row r="115" spans="1:19" x14ac:dyDescent="0.25">
      <c r="A115" s="876"/>
      <c r="B115" s="4"/>
      <c r="C115" s="23"/>
      <c r="D115" s="23"/>
      <c r="E115" s="23"/>
      <c r="F115" s="23"/>
      <c r="G115" s="23"/>
      <c r="H115" s="23"/>
      <c r="I115" s="23"/>
      <c r="J115" s="23"/>
      <c r="K115" s="23"/>
      <c r="L115" s="23"/>
      <c r="M115" s="23"/>
      <c r="N115" s="4"/>
      <c r="O115" s="23"/>
      <c r="P115" s="23"/>
      <c r="Q115" s="4"/>
      <c r="R115" s="4"/>
      <c r="S115" s="4"/>
    </row>
    <row r="116" spans="1:19" x14ac:dyDescent="0.25">
      <c r="A116" s="876"/>
      <c r="B116" s="4"/>
      <c r="C116" s="23"/>
      <c r="D116" s="23"/>
      <c r="E116" s="23"/>
      <c r="F116" s="23"/>
      <c r="G116" s="23"/>
      <c r="H116" s="23"/>
      <c r="I116" s="23"/>
      <c r="J116" s="23"/>
      <c r="K116" s="23"/>
      <c r="L116" s="23"/>
      <c r="M116" s="23"/>
      <c r="N116" s="4"/>
      <c r="O116" s="23"/>
      <c r="P116" s="23"/>
      <c r="Q116" s="4"/>
      <c r="R116" s="4"/>
      <c r="S116" s="4"/>
    </row>
    <row r="117" spans="1:19" x14ac:dyDescent="0.25">
      <c r="A117" s="876"/>
      <c r="B117" s="4"/>
      <c r="C117" s="23"/>
      <c r="D117" s="23"/>
      <c r="E117" s="23"/>
      <c r="F117" s="23"/>
      <c r="G117" s="23"/>
      <c r="H117" s="23"/>
      <c r="I117" s="23"/>
      <c r="J117" s="23"/>
      <c r="K117" s="23"/>
      <c r="L117" s="23"/>
      <c r="M117" s="23"/>
      <c r="N117" s="4"/>
      <c r="O117" s="23"/>
      <c r="P117" s="23"/>
      <c r="Q117" s="4"/>
      <c r="R117" s="4"/>
      <c r="S117" s="4"/>
    </row>
    <row r="118" spans="1:19" x14ac:dyDescent="0.25">
      <c r="A118" s="876"/>
      <c r="B118" s="4"/>
      <c r="C118" s="23"/>
      <c r="D118" s="23"/>
      <c r="E118" s="23"/>
      <c r="F118" s="23"/>
      <c r="G118" s="23"/>
      <c r="H118" s="23"/>
      <c r="I118" s="23"/>
      <c r="J118" s="23"/>
      <c r="K118" s="23"/>
      <c r="L118" s="23"/>
      <c r="M118" s="23"/>
      <c r="N118" s="4"/>
      <c r="O118" s="23"/>
      <c r="P118" s="23"/>
      <c r="Q118" s="4"/>
      <c r="R118" s="4"/>
      <c r="S118" s="4"/>
    </row>
    <row r="119" spans="1:19" x14ac:dyDescent="0.25">
      <c r="A119" s="876"/>
      <c r="B119" s="4"/>
      <c r="C119" s="23"/>
      <c r="D119" s="23"/>
      <c r="E119" s="23"/>
      <c r="F119" s="23"/>
      <c r="G119" s="23"/>
      <c r="H119" s="23"/>
      <c r="I119" s="23"/>
      <c r="J119" s="23"/>
      <c r="K119" s="23"/>
      <c r="L119" s="23"/>
      <c r="M119" s="23"/>
      <c r="N119" s="4"/>
      <c r="O119" s="23"/>
      <c r="P119" s="23"/>
      <c r="Q119" s="4"/>
      <c r="R119" s="4"/>
      <c r="S119" s="4"/>
    </row>
    <row r="120" spans="1:19" x14ac:dyDescent="0.25">
      <c r="A120" s="876"/>
      <c r="B120" s="4"/>
      <c r="C120" s="23"/>
      <c r="D120" s="23"/>
      <c r="E120" s="23"/>
      <c r="F120" s="23"/>
      <c r="G120" s="23"/>
      <c r="H120" s="23"/>
      <c r="I120" s="23"/>
      <c r="J120" s="23"/>
      <c r="K120" s="23"/>
      <c r="L120" s="23"/>
      <c r="M120" s="23"/>
      <c r="N120" s="4"/>
      <c r="O120" s="23"/>
      <c r="P120" s="23"/>
      <c r="Q120" s="4"/>
      <c r="R120" s="4"/>
      <c r="S120" s="4"/>
    </row>
    <row r="121" spans="1:19" x14ac:dyDescent="0.25">
      <c r="A121" s="876"/>
      <c r="B121" s="4"/>
      <c r="C121" s="23"/>
      <c r="D121" s="23"/>
      <c r="E121" s="23"/>
      <c r="F121" s="23"/>
      <c r="G121" s="23"/>
      <c r="H121" s="23"/>
      <c r="I121" s="23"/>
      <c r="J121" s="23"/>
      <c r="K121" s="23"/>
      <c r="L121" s="23"/>
      <c r="M121" s="23"/>
      <c r="N121" s="4"/>
      <c r="O121" s="23"/>
      <c r="P121" s="23"/>
      <c r="Q121" s="4"/>
      <c r="R121" s="4"/>
      <c r="S121" s="4"/>
    </row>
    <row r="122" spans="1:19" x14ac:dyDescent="0.25">
      <c r="A122" s="876"/>
      <c r="B122" s="4"/>
      <c r="C122" s="23"/>
      <c r="D122" s="23"/>
      <c r="E122" s="23"/>
      <c r="F122" s="23"/>
      <c r="G122" s="23"/>
      <c r="H122" s="23"/>
      <c r="I122" s="23"/>
      <c r="J122" s="23"/>
      <c r="K122" s="23"/>
      <c r="L122" s="23"/>
      <c r="M122" s="23"/>
      <c r="N122" s="4"/>
      <c r="O122" s="23"/>
      <c r="P122" s="23"/>
      <c r="Q122" s="4"/>
      <c r="R122" s="4"/>
      <c r="S122" s="4"/>
    </row>
    <row r="123" spans="1:19" x14ac:dyDescent="0.25">
      <c r="A123" s="876"/>
      <c r="B123" s="4"/>
      <c r="C123" s="23"/>
      <c r="D123" s="23"/>
      <c r="E123" s="23"/>
      <c r="F123" s="23"/>
      <c r="G123" s="23"/>
      <c r="H123" s="23"/>
      <c r="I123" s="23"/>
      <c r="J123" s="23"/>
      <c r="K123" s="23"/>
      <c r="L123" s="23"/>
      <c r="M123" s="23"/>
      <c r="N123" s="4"/>
      <c r="O123" s="23"/>
      <c r="P123" s="23"/>
      <c r="Q123" s="4"/>
      <c r="R123" s="4"/>
      <c r="S123" s="4"/>
    </row>
    <row r="124" spans="1:19" x14ac:dyDescent="0.25">
      <c r="A124" s="876"/>
      <c r="B124" s="4"/>
      <c r="C124" s="23"/>
      <c r="D124" s="23"/>
      <c r="E124" s="23"/>
      <c r="F124" s="23"/>
      <c r="G124" s="23"/>
      <c r="H124" s="23"/>
      <c r="I124" s="23"/>
      <c r="J124" s="23"/>
      <c r="K124" s="23"/>
      <c r="L124" s="23"/>
      <c r="M124" s="23"/>
      <c r="N124" s="4"/>
      <c r="O124" s="23"/>
      <c r="P124" s="23"/>
      <c r="Q124" s="4"/>
      <c r="R124" s="4"/>
      <c r="S124" s="4"/>
    </row>
    <row r="125" spans="1:19" x14ac:dyDescent="0.25">
      <c r="A125" s="876"/>
      <c r="B125" s="4"/>
      <c r="C125" s="23"/>
      <c r="D125" s="23"/>
      <c r="E125" s="23"/>
      <c r="F125" s="23"/>
      <c r="G125" s="23"/>
      <c r="H125" s="23"/>
      <c r="I125" s="23"/>
      <c r="J125" s="23"/>
      <c r="K125" s="23"/>
      <c r="L125" s="23"/>
      <c r="M125" s="23"/>
      <c r="N125" s="4"/>
      <c r="O125" s="23"/>
      <c r="P125" s="23"/>
      <c r="Q125" s="4"/>
      <c r="R125" s="4"/>
      <c r="S125" s="4"/>
    </row>
    <row r="126" spans="1:19" x14ac:dyDescent="0.25">
      <c r="A126" s="876"/>
      <c r="B126" s="4"/>
      <c r="C126" s="23"/>
      <c r="D126" s="23"/>
      <c r="E126" s="23"/>
      <c r="F126" s="23"/>
      <c r="G126" s="23"/>
      <c r="H126" s="23"/>
      <c r="I126" s="23"/>
      <c r="J126" s="23"/>
      <c r="K126" s="23"/>
      <c r="L126" s="23"/>
      <c r="M126" s="23"/>
      <c r="N126" s="4"/>
      <c r="O126" s="23"/>
      <c r="P126" s="23"/>
      <c r="Q126" s="4"/>
      <c r="R126" s="4"/>
      <c r="S126" s="4"/>
    </row>
    <row r="127" spans="1:19" x14ac:dyDescent="0.25">
      <c r="A127" s="876"/>
      <c r="B127" s="4"/>
      <c r="C127" s="23"/>
      <c r="D127" s="23"/>
      <c r="E127" s="23"/>
      <c r="F127" s="23"/>
      <c r="G127" s="23"/>
      <c r="H127" s="23"/>
      <c r="I127" s="23"/>
      <c r="J127" s="23"/>
      <c r="K127" s="23"/>
      <c r="L127" s="23"/>
      <c r="M127" s="23"/>
      <c r="N127" s="4"/>
      <c r="O127" s="23"/>
      <c r="P127" s="23"/>
      <c r="Q127" s="4"/>
      <c r="R127" s="4"/>
      <c r="S127" s="4"/>
    </row>
    <row r="128" spans="1:19" x14ac:dyDescent="0.25">
      <c r="A128" s="876"/>
      <c r="B128" s="4"/>
      <c r="C128" s="23"/>
      <c r="D128" s="23"/>
      <c r="E128" s="23"/>
      <c r="F128" s="23"/>
      <c r="G128" s="23"/>
      <c r="H128" s="23"/>
      <c r="I128" s="23"/>
      <c r="J128" s="23"/>
      <c r="K128" s="23"/>
      <c r="L128" s="23"/>
      <c r="M128" s="23"/>
      <c r="N128" s="4"/>
      <c r="O128" s="23"/>
      <c r="P128" s="23"/>
      <c r="Q128" s="4"/>
      <c r="R128" s="4"/>
      <c r="S128" s="4"/>
    </row>
    <row r="129" spans="1:19" x14ac:dyDescent="0.25">
      <c r="A129" s="876"/>
      <c r="B129" s="4"/>
      <c r="C129" s="23"/>
      <c r="D129" s="23"/>
      <c r="E129" s="23"/>
      <c r="F129" s="23"/>
      <c r="G129" s="23"/>
      <c r="H129" s="23"/>
      <c r="I129" s="23"/>
      <c r="J129" s="23"/>
      <c r="K129" s="23"/>
      <c r="L129" s="23"/>
      <c r="M129" s="23"/>
      <c r="N129" s="4"/>
      <c r="O129" s="23"/>
      <c r="P129" s="23"/>
      <c r="Q129" s="4"/>
      <c r="R129" s="4"/>
      <c r="S129" s="4"/>
    </row>
    <row r="130" spans="1:19" x14ac:dyDescent="0.25">
      <c r="A130" s="876"/>
      <c r="B130" s="4"/>
      <c r="C130" s="23"/>
      <c r="D130" s="23"/>
      <c r="E130" s="23"/>
      <c r="F130" s="23"/>
      <c r="G130" s="23"/>
      <c r="H130" s="23"/>
      <c r="I130" s="23"/>
      <c r="J130" s="23"/>
      <c r="K130" s="23"/>
      <c r="L130" s="23"/>
      <c r="M130" s="23"/>
      <c r="N130" s="4"/>
      <c r="O130" s="23"/>
      <c r="P130" s="23"/>
      <c r="Q130" s="4"/>
      <c r="R130" s="4"/>
      <c r="S130" s="4"/>
    </row>
    <row r="131" spans="1:19" x14ac:dyDescent="0.25">
      <c r="A131" s="876"/>
      <c r="B131" s="4"/>
      <c r="C131" s="23"/>
      <c r="D131" s="23"/>
      <c r="E131" s="23"/>
      <c r="F131" s="23"/>
      <c r="G131" s="23"/>
      <c r="H131" s="23"/>
      <c r="I131" s="23"/>
      <c r="J131" s="23"/>
      <c r="K131" s="23"/>
      <c r="L131" s="23"/>
      <c r="M131" s="23"/>
      <c r="N131" s="4"/>
      <c r="O131" s="23"/>
      <c r="P131" s="23"/>
      <c r="Q131" s="4"/>
      <c r="R131" s="4"/>
      <c r="S131" s="4"/>
    </row>
    <row r="132" spans="1:19" x14ac:dyDescent="0.25">
      <c r="A132" s="876"/>
      <c r="B132" s="4"/>
      <c r="C132" s="23"/>
      <c r="D132" s="23"/>
      <c r="E132" s="23"/>
      <c r="F132" s="23"/>
      <c r="G132" s="23"/>
      <c r="H132" s="23"/>
      <c r="I132" s="23"/>
      <c r="J132" s="23"/>
      <c r="K132" s="23"/>
      <c r="L132" s="23"/>
      <c r="M132" s="23"/>
      <c r="N132" s="4"/>
      <c r="O132" s="23"/>
      <c r="P132" s="23"/>
      <c r="Q132" s="4"/>
      <c r="R132" s="4"/>
      <c r="S132" s="4"/>
    </row>
    <row r="133" spans="1:19" x14ac:dyDescent="0.25">
      <c r="A133" s="876"/>
      <c r="B133" s="4"/>
      <c r="C133" s="23"/>
      <c r="D133" s="23"/>
      <c r="E133" s="23"/>
      <c r="F133" s="23"/>
      <c r="G133" s="23"/>
      <c r="H133" s="23"/>
      <c r="I133" s="23"/>
      <c r="J133" s="23"/>
      <c r="K133" s="23"/>
      <c r="L133" s="23"/>
      <c r="M133" s="23"/>
      <c r="N133" s="4"/>
      <c r="O133" s="23"/>
      <c r="P133" s="23"/>
      <c r="Q133" s="4"/>
      <c r="R133" s="4"/>
      <c r="S133" s="4"/>
    </row>
    <row r="134" spans="1:19" x14ac:dyDescent="0.25">
      <c r="A134" s="876"/>
      <c r="B134" s="4"/>
      <c r="C134" s="23"/>
      <c r="D134" s="23"/>
      <c r="E134" s="23"/>
      <c r="F134" s="23"/>
      <c r="G134" s="23"/>
      <c r="H134" s="23"/>
      <c r="I134" s="23"/>
      <c r="J134" s="23"/>
      <c r="K134" s="23"/>
      <c r="L134" s="23"/>
      <c r="M134" s="23"/>
      <c r="N134" s="4"/>
      <c r="O134" s="23"/>
      <c r="P134" s="23"/>
      <c r="Q134" s="4"/>
      <c r="R134" s="4"/>
      <c r="S134" s="4"/>
    </row>
    <row r="135" spans="1:19" x14ac:dyDescent="0.25">
      <c r="A135" s="876"/>
      <c r="B135" s="4"/>
      <c r="C135" s="23"/>
      <c r="D135" s="23"/>
      <c r="E135" s="23"/>
      <c r="F135" s="23"/>
      <c r="G135" s="23"/>
      <c r="H135" s="23"/>
      <c r="I135" s="23"/>
      <c r="J135" s="23"/>
      <c r="K135" s="23"/>
      <c r="L135" s="23"/>
      <c r="M135" s="23"/>
      <c r="N135" s="4"/>
      <c r="O135" s="23"/>
      <c r="P135" s="23"/>
      <c r="Q135" s="4"/>
      <c r="R135" s="4"/>
      <c r="S135" s="4"/>
    </row>
    <row r="136" spans="1:19" x14ac:dyDescent="0.25">
      <c r="A136" s="876"/>
      <c r="B136" s="4"/>
      <c r="C136" s="23"/>
      <c r="D136" s="23"/>
      <c r="E136" s="23"/>
      <c r="F136" s="23"/>
      <c r="G136" s="23"/>
      <c r="H136" s="23"/>
      <c r="I136" s="23"/>
      <c r="J136" s="23"/>
      <c r="K136" s="23"/>
      <c r="L136" s="23"/>
      <c r="M136" s="23"/>
      <c r="N136" s="4"/>
      <c r="O136" s="23"/>
      <c r="P136" s="23"/>
      <c r="Q136" s="4"/>
      <c r="R136" s="4"/>
      <c r="S136" s="4"/>
    </row>
    <row r="137" spans="1:19" x14ac:dyDescent="0.25">
      <c r="A137" s="876"/>
      <c r="B137" s="4"/>
      <c r="C137" s="23"/>
      <c r="D137" s="23"/>
      <c r="E137" s="23"/>
      <c r="F137" s="23"/>
      <c r="G137" s="23"/>
      <c r="H137" s="23"/>
      <c r="I137" s="23"/>
      <c r="J137" s="23"/>
      <c r="K137" s="23"/>
      <c r="L137" s="23"/>
      <c r="M137" s="23"/>
      <c r="N137" s="4"/>
      <c r="O137" s="23"/>
      <c r="P137" s="23"/>
      <c r="Q137" s="4"/>
      <c r="R137" s="4"/>
      <c r="S137" s="4"/>
    </row>
    <row r="138" spans="1:19" x14ac:dyDescent="0.25">
      <c r="A138" s="876"/>
      <c r="B138" s="4"/>
      <c r="C138" s="23"/>
      <c r="D138" s="23"/>
      <c r="E138" s="23"/>
      <c r="F138" s="23"/>
      <c r="G138" s="23"/>
      <c r="H138" s="23"/>
      <c r="I138" s="23"/>
      <c r="J138" s="23"/>
      <c r="K138" s="23"/>
      <c r="L138" s="23"/>
      <c r="M138" s="23"/>
      <c r="N138" s="4"/>
      <c r="O138" s="23"/>
      <c r="P138" s="23"/>
      <c r="Q138" s="4"/>
      <c r="R138" s="4"/>
      <c r="S138" s="4"/>
    </row>
    <row r="139" spans="1:19" x14ac:dyDescent="0.25">
      <c r="A139" s="876"/>
      <c r="B139" s="4"/>
      <c r="C139" s="23"/>
      <c r="D139" s="23"/>
      <c r="E139" s="23"/>
      <c r="F139" s="23"/>
      <c r="G139" s="23"/>
      <c r="H139" s="23"/>
      <c r="I139" s="23"/>
      <c r="J139" s="23"/>
      <c r="K139" s="23"/>
      <c r="L139" s="23"/>
      <c r="M139" s="23"/>
      <c r="N139" s="4"/>
      <c r="O139" s="23"/>
      <c r="P139" s="23"/>
      <c r="Q139" s="4"/>
      <c r="R139" s="4"/>
      <c r="S139" s="4"/>
    </row>
    <row r="140" spans="1:19" x14ac:dyDescent="0.25">
      <c r="A140" s="876"/>
      <c r="B140" s="4"/>
      <c r="C140" s="23"/>
      <c r="D140" s="23"/>
      <c r="E140" s="23"/>
      <c r="F140" s="23"/>
      <c r="G140" s="23"/>
      <c r="H140" s="23"/>
      <c r="I140" s="23"/>
      <c r="J140" s="23"/>
      <c r="K140" s="23"/>
      <c r="L140" s="23"/>
      <c r="M140" s="23"/>
      <c r="N140" s="4"/>
      <c r="O140" s="23"/>
      <c r="P140" s="23"/>
      <c r="Q140" s="4"/>
      <c r="R140" s="4"/>
      <c r="S140" s="4"/>
    </row>
    <row r="141" spans="1:19" x14ac:dyDescent="0.25">
      <c r="A141" s="876"/>
      <c r="B141" s="4"/>
      <c r="C141" s="23"/>
      <c r="D141" s="23"/>
      <c r="E141" s="23"/>
      <c r="F141" s="23"/>
      <c r="G141" s="23"/>
      <c r="H141" s="23"/>
      <c r="I141" s="23"/>
      <c r="J141" s="23"/>
      <c r="K141" s="23"/>
      <c r="L141" s="23"/>
      <c r="M141" s="23"/>
      <c r="N141" s="4"/>
      <c r="O141" s="23"/>
      <c r="P141" s="23"/>
      <c r="Q141" s="4"/>
      <c r="R141" s="4"/>
      <c r="S141" s="4"/>
    </row>
    <row r="142" spans="1:19" x14ac:dyDescent="0.25">
      <c r="A142" s="876"/>
      <c r="B142" s="4"/>
      <c r="C142" s="23"/>
      <c r="D142" s="23"/>
      <c r="E142" s="23"/>
      <c r="F142" s="23"/>
      <c r="G142" s="23"/>
      <c r="H142" s="23"/>
      <c r="I142" s="23"/>
      <c r="J142" s="23"/>
      <c r="K142" s="23"/>
      <c r="L142" s="23"/>
      <c r="M142" s="23"/>
      <c r="N142" s="4"/>
      <c r="O142" s="23"/>
      <c r="P142" s="23"/>
      <c r="Q142" s="4"/>
      <c r="R142" s="4"/>
      <c r="S142" s="4"/>
    </row>
    <row r="143" spans="1:19" x14ac:dyDescent="0.25">
      <c r="A143" s="876"/>
      <c r="B143" s="4"/>
      <c r="C143" s="23"/>
      <c r="D143" s="23"/>
      <c r="E143" s="23"/>
      <c r="F143" s="23"/>
      <c r="G143" s="23"/>
      <c r="H143" s="23"/>
      <c r="I143" s="23"/>
      <c r="J143" s="23"/>
      <c r="K143" s="23"/>
      <c r="L143" s="23"/>
      <c r="M143" s="23"/>
      <c r="N143" s="4"/>
      <c r="O143" s="23"/>
      <c r="P143" s="23"/>
      <c r="Q143" s="4"/>
      <c r="R143" s="4"/>
      <c r="S143" s="4"/>
    </row>
    <row r="144" spans="1:19" x14ac:dyDescent="0.25">
      <c r="C144" s="114"/>
    </row>
    <row r="145" spans="3:3" x14ac:dyDescent="0.25">
      <c r="C145" s="114"/>
    </row>
    <row r="146" spans="3:3" x14ac:dyDescent="0.25">
      <c r="C146" s="114"/>
    </row>
    <row r="147" spans="3:3" x14ac:dyDescent="0.25">
      <c r="C147" s="114"/>
    </row>
    <row r="148" spans="3:3" x14ac:dyDescent="0.25">
      <c r="C148" s="114"/>
    </row>
    <row r="149" spans="3:3" x14ac:dyDescent="0.25">
      <c r="C149" s="114"/>
    </row>
    <row r="150" spans="3:3" x14ac:dyDescent="0.25">
      <c r="C150" s="114"/>
    </row>
    <row r="151" spans="3:3" x14ac:dyDescent="0.25">
      <c r="C151" s="114"/>
    </row>
    <row r="152" spans="3:3" x14ac:dyDescent="0.25">
      <c r="C152" s="114"/>
    </row>
    <row r="153" spans="3:3" x14ac:dyDescent="0.25">
      <c r="C153" s="114"/>
    </row>
    <row r="154" spans="3:3" x14ac:dyDescent="0.25">
      <c r="C154" s="114"/>
    </row>
    <row r="155" spans="3:3" x14ac:dyDescent="0.25">
      <c r="C155" s="114"/>
    </row>
    <row r="156" spans="3:3" x14ac:dyDescent="0.25">
      <c r="C156" s="114"/>
    </row>
    <row r="157" spans="3:3" x14ac:dyDescent="0.25">
      <c r="C157" s="114"/>
    </row>
    <row r="158" spans="3:3" x14ac:dyDescent="0.25">
      <c r="C158" s="114"/>
    </row>
    <row r="159" spans="3:3" x14ac:dyDescent="0.25">
      <c r="C159" s="114"/>
    </row>
    <row r="160" spans="3:3" x14ac:dyDescent="0.25">
      <c r="C160" s="114"/>
    </row>
    <row r="161" spans="3:3" x14ac:dyDescent="0.25">
      <c r="C161" s="114"/>
    </row>
    <row r="162" spans="3:3" x14ac:dyDescent="0.25">
      <c r="C162" s="114"/>
    </row>
    <row r="163" spans="3:3" x14ac:dyDescent="0.25">
      <c r="C163" s="114"/>
    </row>
    <row r="164" spans="3:3" x14ac:dyDescent="0.25">
      <c r="C164" s="114"/>
    </row>
    <row r="165" spans="3:3" x14ac:dyDescent="0.25">
      <c r="C165" s="114"/>
    </row>
    <row r="166" spans="3:3" x14ac:dyDescent="0.25">
      <c r="C166" s="114"/>
    </row>
    <row r="167" spans="3:3" x14ac:dyDescent="0.25">
      <c r="C167" s="114"/>
    </row>
    <row r="168" spans="3:3" x14ac:dyDescent="0.25">
      <c r="C168" s="114"/>
    </row>
    <row r="169" spans="3:3" x14ac:dyDescent="0.25">
      <c r="C169" s="114"/>
    </row>
    <row r="170" spans="3:3" x14ac:dyDescent="0.25">
      <c r="C170" s="114"/>
    </row>
    <row r="171" spans="3:3" x14ac:dyDescent="0.25">
      <c r="C171" s="114"/>
    </row>
    <row r="172" spans="3:3" x14ac:dyDescent="0.25">
      <c r="C172" s="114"/>
    </row>
    <row r="173" spans="3:3" x14ac:dyDescent="0.25">
      <c r="C173" s="114"/>
    </row>
    <row r="174" spans="3:3" x14ac:dyDescent="0.25">
      <c r="C174" s="114"/>
    </row>
    <row r="175" spans="3:3" x14ac:dyDescent="0.25">
      <c r="C175" s="114"/>
    </row>
    <row r="176" spans="3:3" x14ac:dyDescent="0.25">
      <c r="C176" s="114"/>
    </row>
    <row r="177" spans="3:3" x14ac:dyDescent="0.25">
      <c r="C177" s="114"/>
    </row>
    <row r="178" spans="3:3" x14ac:dyDescent="0.25">
      <c r="C178" s="114"/>
    </row>
    <row r="179" spans="3:3" x14ac:dyDescent="0.25">
      <c r="C179" s="114"/>
    </row>
    <row r="180" spans="3:3" x14ac:dyDescent="0.25">
      <c r="C180" s="114"/>
    </row>
    <row r="181" spans="3:3" x14ac:dyDescent="0.25">
      <c r="C181" s="114"/>
    </row>
    <row r="182" spans="3:3" x14ac:dyDescent="0.25">
      <c r="C182" s="114"/>
    </row>
    <row r="183" spans="3:3" x14ac:dyDescent="0.25">
      <c r="C183" s="114"/>
    </row>
    <row r="184" spans="3:3" x14ac:dyDescent="0.25">
      <c r="C184" s="114"/>
    </row>
    <row r="185" spans="3:3" x14ac:dyDescent="0.25">
      <c r="C185" s="114"/>
    </row>
    <row r="186" spans="3:3" x14ac:dyDescent="0.25">
      <c r="C186" s="114"/>
    </row>
    <row r="187" spans="3:3" x14ac:dyDescent="0.25">
      <c r="C187" s="114"/>
    </row>
    <row r="188" spans="3:3" x14ac:dyDescent="0.25">
      <c r="C188" s="114"/>
    </row>
    <row r="189" spans="3:3" x14ac:dyDescent="0.25">
      <c r="C189" s="114"/>
    </row>
    <row r="190" spans="3:3" x14ac:dyDescent="0.25">
      <c r="C190" s="114"/>
    </row>
    <row r="191" spans="3:3" x14ac:dyDescent="0.25">
      <c r="C191" s="114"/>
    </row>
  </sheetData>
  <phoneticPr fontId="0" type="noConversion"/>
  <hyperlinks>
    <hyperlink ref="A1" location="'Working Budget with funding det'!A1" display="Main " xr:uid="{00000000-0004-0000-3200-000000000000}"/>
    <hyperlink ref="B1" location="'Table of Contents'!A1" display="TOC" xr:uid="{00000000-0004-0000-3200-000001000000}"/>
  </hyperlinks>
  <pageMargins left="0.75" right="0.75" top="1" bottom="1" header="0.5" footer="0.5"/>
  <pageSetup orientation="landscape" horizontalDpi="300" verticalDpi="300" r:id="rId1"/>
  <headerFooter alignWithMargins="0">
    <oddFooter>&amp;L&amp;D     &amp;T&amp;C&amp;F&amp;R&amp;A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92D050"/>
    <pageSetUpPr fitToPage="1"/>
  </sheetPr>
  <dimension ref="A1:T177"/>
  <sheetViews>
    <sheetView workbookViewId="0">
      <selection activeCell="P1" sqref="P1:P1048576"/>
    </sheetView>
  </sheetViews>
  <sheetFormatPr defaultRowHeight="13.2" x14ac:dyDescent="0.25"/>
  <cols>
    <col min="1" max="1" width="10.77734375" style="885" customWidth="1"/>
    <col min="2" max="2" width="38.109375" customWidth="1"/>
    <col min="3" max="3" width="15.77734375" style="1" hidden="1" customWidth="1"/>
    <col min="4" max="10" width="15.44140625" style="114" hidden="1" customWidth="1"/>
    <col min="11" max="13" width="15.44140625" style="114" customWidth="1"/>
    <col min="14" max="14" width="15.77734375" customWidth="1"/>
    <col min="15" max="16" width="16.77734375" style="1" customWidth="1"/>
    <col min="17" max="19" width="14.44140625" customWidth="1"/>
    <col min="20" max="20" width="14.6640625" style="2" customWidth="1"/>
  </cols>
  <sheetData>
    <row r="1" spans="1:19" x14ac:dyDescent="0.25">
      <c r="A1" s="874" t="s">
        <v>1021</v>
      </c>
      <c r="B1" s="371" t="s">
        <v>1348</v>
      </c>
      <c r="P1"/>
    </row>
    <row r="2" spans="1:19" ht="13.8" x14ac:dyDescent="0.25">
      <c r="A2" s="875" t="s">
        <v>268</v>
      </c>
      <c r="B2" s="45"/>
      <c r="E2" s="141"/>
      <c r="I2" s="141" t="s">
        <v>257</v>
      </c>
      <c r="J2" s="141"/>
      <c r="K2" s="141"/>
      <c r="L2" s="141"/>
      <c r="M2" s="141"/>
      <c r="N2" s="61" t="s">
        <v>324</v>
      </c>
      <c r="P2" s="46" t="s">
        <v>506</v>
      </c>
    </row>
    <row r="3" spans="1:19" ht="13.8" thickBot="1" x14ac:dyDescent="0.3">
      <c r="A3" s="876"/>
      <c r="B3" s="4"/>
      <c r="C3" s="23"/>
      <c r="D3" s="23"/>
      <c r="E3" s="23"/>
      <c r="F3" s="23"/>
      <c r="G3" s="23"/>
      <c r="H3" s="23"/>
      <c r="I3" s="23"/>
      <c r="J3" s="23"/>
      <c r="K3" s="23"/>
      <c r="L3" s="23"/>
      <c r="M3" s="23"/>
      <c r="N3" s="4"/>
      <c r="O3" s="23"/>
      <c r="P3" s="4"/>
      <c r="S3" s="4"/>
    </row>
    <row r="4" spans="1:19" ht="13.8" thickTop="1" x14ac:dyDescent="0.25">
      <c r="A4" s="877"/>
      <c r="B4" s="651"/>
      <c r="C4" s="128" t="s">
        <v>127</v>
      </c>
      <c r="D4" s="258" t="s">
        <v>127</v>
      </c>
      <c r="E4" s="128" t="s">
        <v>127</v>
      </c>
      <c r="F4" s="258" t="s">
        <v>127</v>
      </c>
      <c r="G4" s="258" t="s">
        <v>1183</v>
      </c>
      <c r="H4" s="112" t="s">
        <v>127</v>
      </c>
      <c r="I4" s="289" t="s">
        <v>127</v>
      </c>
      <c r="J4" s="289" t="s">
        <v>127</v>
      </c>
      <c r="K4" s="289" t="s">
        <v>547</v>
      </c>
      <c r="L4" s="289" t="s">
        <v>127</v>
      </c>
      <c r="M4" s="289" t="s">
        <v>547</v>
      </c>
      <c r="N4" s="112" t="s">
        <v>495</v>
      </c>
      <c r="O4" s="7" t="s">
        <v>910</v>
      </c>
      <c r="P4" s="7" t="s">
        <v>910</v>
      </c>
    </row>
    <row r="5" spans="1:19" x14ac:dyDescent="0.25">
      <c r="A5" s="878"/>
      <c r="B5" s="209"/>
      <c r="C5" s="127"/>
      <c r="D5" s="87"/>
      <c r="E5" s="111"/>
      <c r="F5" s="87"/>
      <c r="G5" s="87"/>
      <c r="H5" s="113"/>
      <c r="I5" s="290"/>
      <c r="J5" s="290"/>
      <c r="K5" s="290"/>
      <c r="L5" s="290"/>
      <c r="M5" s="290"/>
      <c r="N5" s="113" t="s">
        <v>515</v>
      </c>
      <c r="O5" s="88" t="s">
        <v>7</v>
      </c>
      <c r="P5" s="203" t="s">
        <v>782</v>
      </c>
    </row>
    <row r="6" spans="1:19" x14ac:dyDescent="0.25">
      <c r="A6" s="878"/>
      <c r="B6" s="209"/>
      <c r="C6" s="87"/>
      <c r="D6" s="111"/>
      <c r="E6" s="111"/>
      <c r="F6" s="87"/>
      <c r="G6" s="87"/>
      <c r="H6" s="87"/>
      <c r="I6" s="89"/>
      <c r="J6" s="47"/>
      <c r="K6" s="89"/>
      <c r="L6" s="89"/>
      <c r="M6" s="89"/>
      <c r="N6" s="87"/>
      <c r="O6" s="88" t="s">
        <v>8</v>
      </c>
      <c r="P6" s="47" t="s">
        <v>543</v>
      </c>
    </row>
    <row r="7" spans="1:19" ht="13.8" thickBot="1" x14ac:dyDescent="0.3">
      <c r="A7" s="879" t="s">
        <v>128</v>
      </c>
      <c r="B7" s="82"/>
      <c r="C7" s="308" t="s">
        <v>347</v>
      </c>
      <c r="D7" s="308" t="s">
        <v>722</v>
      </c>
      <c r="E7" s="81" t="s">
        <v>737</v>
      </c>
      <c r="F7" s="81" t="s">
        <v>789</v>
      </c>
      <c r="G7" s="81" t="s">
        <v>889</v>
      </c>
      <c r="H7" s="81" t="s">
        <v>1018</v>
      </c>
      <c r="I7" s="81" t="s">
        <v>1072</v>
      </c>
      <c r="J7" s="81" t="s">
        <v>907</v>
      </c>
      <c r="K7" s="81" t="s">
        <v>908</v>
      </c>
      <c r="L7" s="81" t="s">
        <v>908</v>
      </c>
      <c r="M7" s="81" t="s">
        <v>909</v>
      </c>
      <c r="N7" s="136">
        <v>44561</v>
      </c>
      <c r="O7" s="81" t="s">
        <v>9</v>
      </c>
      <c r="P7" s="9" t="s">
        <v>546</v>
      </c>
    </row>
    <row r="8" spans="1:19" ht="13.8" thickTop="1" x14ac:dyDescent="0.25">
      <c r="A8" s="908"/>
      <c r="B8" s="210"/>
      <c r="C8" s="132"/>
      <c r="D8" s="132"/>
      <c r="E8" s="132"/>
      <c r="F8" s="438"/>
      <c r="G8" s="132"/>
      <c r="H8" s="132"/>
      <c r="I8" s="92"/>
      <c r="J8" s="92"/>
      <c r="K8" s="92"/>
      <c r="L8" s="92"/>
      <c r="M8" s="92"/>
      <c r="N8" s="132"/>
      <c r="O8" s="92"/>
      <c r="P8" s="31"/>
    </row>
    <row r="9" spans="1:19" x14ac:dyDescent="0.25">
      <c r="A9" s="908">
        <v>5170</v>
      </c>
      <c r="B9" s="63" t="s">
        <v>375</v>
      </c>
      <c r="C9" s="132">
        <v>37150.800000000003</v>
      </c>
      <c r="D9" s="132">
        <v>37644.33</v>
      </c>
      <c r="E9" s="132">
        <v>32019.119999999999</v>
      </c>
      <c r="F9" s="132">
        <v>20586.78</v>
      </c>
      <c r="G9" s="132">
        <v>14635.2</v>
      </c>
      <c r="H9" s="132">
        <v>5024.76</v>
      </c>
      <c r="I9" s="406">
        <v>2859.88</v>
      </c>
      <c r="J9" s="406">
        <v>1363.08</v>
      </c>
      <c r="K9" s="332">
        <v>2045</v>
      </c>
      <c r="L9" s="406">
        <v>2726.16</v>
      </c>
      <c r="M9" s="332">
        <v>2045</v>
      </c>
      <c r="N9" s="132"/>
      <c r="O9" s="332">
        <v>2045</v>
      </c>
      <c r="P9" s="14"/>
    </row>
    <row r="10" spans="1:19" x14ac:dyDescent="0.25">
      <c r="A10" s="881">
        <v>5171</v>
      </c>
      <c r="B10" s="63" t="s">
        <v>237</v>
      </c>
      <c r="C10" s="130">
        <v>752282</v>
      </c>
      <c r="D10" s="130">
        <v>789701</v>
      </c>
      <c r="E10" s="130">
        <v>794597</v>
      </c>
      <c r="F10" s="130">
        <v>837143</v>
      </c>
      <c r="G10" s="130">
        <v>861504</v>
      </c>
      <c r="H10" s="130">
        <v>900214</v>
      </c>
      <c r="I10" s="405">
        <v>926159</v>
      </c>
      <c r="J10" s="405">
        <v>912706</v>
      </c>
      <c r="K10" s="331">
        <v>973492</v>
      </c>
      <c r="L10" s="405">
        <v>973492</v>
      </c>
      <c r="M10" s="331">
        <v>1066196</v>
      </c>
      <c r="N10" s="130">
        <v>1066196</v>
      </c>
      <c r="O10" s="331">
        <v>1062570</v>
      </c>
      <c r="P10" s="331"/>
    </row>
    <row r="11" spans="1:19" x14ac:dyDescent="0.25">
      <c r="A11" s="881">
        <v>5172</v>
      </c>
      <c r="B11" s="63" t="s">
        <v>238</v>
      </c>
      <c r="C11" s="130">
        <v>41378.050000000003</v>
      </c>
      <c r="D11" s="132">
        <v>34572.11</v>
      </c>
      <c r="E11" s="132">
        <v>34401.49</v>
      </c>
      <c r="F11" s="132">
        <v>29550.62</v>
      </c>
      <c r="G11" s="132">
        <v>31957.59</v>
      </c>
      <c r="H11" s="132">
        <v>33882</v>
      </c>
      <c r="I11" s="406">
        <v>40175</v>
      </c>
      <c r="J11" s="406">
        <v>42895.26</v>
      </c>
      <c r="K11" s="332">
        <v>45000</v>
      </c>
      <c r="L11" s="406">
        <v>38554</v>
      </c>
      <c r="M11" s="332">
        <v>43000</v>
      </c>
      <c r="N11" s="130">
        <v>26184.32</v>
      </c>
      <c r="O11" s="332">
        <v>44000</v>
      </c>
      <c r="P11" s="332"/>
    </row>
    <row r="12" spans="1:19" x14ac:dyDescent="0.25">
      <c r="A12" s="881">
        <v>5173</v>
      </c>
      <c r="B12" s="63" t="s">
        <v>239</v>
      </c>
      <c r="C12" s="130">
        <v>789.92</v>
      </c>
      <c r="D12" s="132">
        <v>1375.17</v>
      </c>
      <c r="E12" s="132"/>
      <c r="F12" s="132"/>
      <c r="G12" s="132">
        <v>4419.51</v>
      </c>
      <c r="H12" s="132">
        <v>6452.9</v>
      </c>
      <c r="I12" s="406">
        <v>12673.77</v>
      </c>
      <c r="J12" s="406"/>
      <c r="K12" s="332">
        <v>10000</v>
      </c>
      <c r="L12" s="406">
        <v>13196.03</v>
      </c>
      <c r="M12" s="332">
        <v>10000</v>
      </c>
      <c r="N12" s="130">
        <v>4</v>
      </c>
      <c r="O12" s="332">
        <v>10000</v>
      </c>
      <c r="P12" s="332"/>
    </row>
    <row r="13" spans="1:19" x14ac:dyDescent="0.25">
      <c r="A13" s="881">
        <v>5174</v>
      </c>
      <c r="B13" s="63" t="s">
        <v>240</v>
      </c>
      <c r="C13" s="130">
        <v>872311.05</v>
      </c>
      <c r="D13" s="130">
        <v>808998.23</v>
      </c>
      <c r="E13" s="130">
        <v>827690.49</v>
      </c>
      <c r="F13" s="130">
        <v>837917.94</v>
      </c>
      <c r="G13" s="130">
        <v>898762.32</v>
      </c>
      <c r="H13" s="130">
        <v>992555.93</v>
      </c>
      <c r="I13" s="405">
        <v>1013426.8</v>
      </c>
      <c r="J13" s="405">
        <v>1010436.67</v>
      </c>
      <c r="K13" s="331">
        <f>-60000+1186320</f>
        <v>1126320</v>
      </c>
      <c r="L13" s="405">
        <v>1010035.23</v>
      </c>
      <c r="M13" s="331">
        <v>1194420</v>
      </c>
      <c r="N13" s="130">
        <v>516628.18</v>
      </c>
      <c r="O13" s="331">
        <v>1185000</v>
      </c>
      <c r="P13" s="331"/>
    </row>
    <row r="14" spans="1:19" x14ac:dyDescent="0.25">
      <c r="A14" s="881">
        <v>5175</v>
      </c>
      <c r="B14" s="63" t="s">
        <v>241</v>
      </c>
      <c r="C14" s="130">
        <v>15818.97</v>
      </c>
      <c r="D14" s="130">
        <v>14158.12</v>
      </c>
      <c r="E14" s="130">
        <v>12158.54</v>
      </c>
      <c r="F14" s="130">
        <v>13916.38</v>
      </c>
      <c r="G14" s="130">
        <v>14114.32</v>
      </c>
      <c r="H14" s="130">
        <v>14773.5</v>
      </c>
      <c r="I14" s="405">
        <v>15020.46</v>
      </c>
      <c r="J14" s="405">
        <v>14799.71</v>
      </c>
      <c r="K14" s="331">
        <v>17200</v>
      </c>
      <c r="L14" s="405">
        <v>14596.92</v>
      </c>
      <c r="M14" s="331">
        <v>17200</v>
      </c>
      <c r="N14" s="130">
        <v>7068.78</v>
      </c>
      <c r="O14" s="331">
        <v>17665</v>
      </c>
      <c r="P14" s="331"/>
    </row>
    <row r="15" spans="1:19" x14ac:dyDescent="0.25">
      <c r="A15" s="881">
        <v>5177</v>
      </c>
      <c r="B15" s="63" t="s">
        <v>242</v>
      </c>
      <c r="C15" s="250">
        <v>40990.46</v>
      </c>
      <c r="D15" s="250">
        <v>44116.78</v>
      </c>
      <c r="E15" s="250">
        <v>47581.79</v>
      </c>
      <c r="F15" s="250">
        <v>50108.41</v>
      </c>
      <c r="G15" s="250">
        <v>53564.43</v>
      </c>
      <c r="H15" s="250">
        <v>55523.24</v>
      </c>
      <c r="I15" s="702">
        <v>58672.800000000003</v>
      </c>
      <c r="J15" s="702">
        <v>58606.29</v>
      </c>
      <c r="K15" s="284">
        <v>64000</v>
      </c>
      <c r="L15" s="702">
        <v>63532.27</v>
      </c>
      <c r="M15" s="284">
        <v>65000</v>
      </c>
      <c r="N15" s="250">
        <v>36525.93</v>
      </c>
      <c r="O15" s="284">
        <v>70000</v>
      </c>
      <c r="P15" s="284"/>
    </row>
    <row r="16" spans="1:19" ht="13.8" thickBot="1" x14ac:dyDescent="0.3">
      <c r="A16" s="881">
        <v>5179</v>
      </c>
      <c r="B16" s="63" t="s">
        <v>716</v>
      </c>
      <c r="C16" s="131">
        <v>97.96</v>
      </c>
      <c r="D16" s="15">
        <v>225.66</v>
      </c>
      <c r="E16" s="15">
        <v>145.66</v>
      </c>
      <c r="F16" s="15">
        <v>129.02000000000001</v>
      </c>
      <c r="G16" s="15"/>
      <c r="H16" s="15"/>
      <c r="I16" s="318"/>
      <c r="J16" s="318"/>
      <c r="K16" s="123"/>
      <c r="L16" s="407"/>
      <c r="M16" s="333"/>
      <c r="N16" s="131"/>
      <c r="O16" s="123"/>
      <c r="P16" s="123"/>
    </row>
    <row r="17" spans="1:20" x14ac:dyDescent="0.25">
      <c r="A17" s="881"/>
      <c r="B17" s="63"/>
      <c r="C17" s="132"/>
      <c r="D17" s="132"/>
      <c r="E17" s="132"/>
      <c r="F17" s="32"/>
      <c r="G17" s="132"/>
      <c r="H17" s="132"/>
      <c r="I17" s="18"/>
      <c r="J17" s="18"/>
      <c r="K17" s="19"/>
      <c r="L17" s="18"/>
      <c r="M17" s="19"/>
      <c r="N17" s="18"/>
      <c r="O17" s="19"/>
      <c r="P17" s="19"/>
    </row>
    <row r="18" spans="1:20" x14ac:dyDescent="0.25">
      <c r="A18" s="881"/>
      <c r="B18" s="64" t="s">
        <v>130</v>
      </c>
      <c r="C18" s="130">
        <f>SUM(C9:C17)</f>
        <v>1760819.2100000002</v>
      </c>
      <c r="D18" s="13">
        <f>SUM(D9:D17)</f>
        <v>1730791.4</v>
      </c>
      <c r="E18" s="13">
        <f>SUM(E9:E17)</f>
        <v>1748594.09</v>
      </c>
      <c r="F18" s="13">
        <f>SUM(F9:F16)</f>
        <v>1789352.1499999997</v>
      </c>
      <c r="G18" s="13">
        <f>SUM(G9:G16)</f>
        <v>1878957.3699999999</v>
      </c>
      <c r="H18" s="13">
        <f>SUM(H9:H16)</f>
        <v>2008426.33</v>
      </c>
      <c r="I18" s="13">
        <f>SUM(I9:I17)</f>
        <v>2068987.7100000002</v>
      </c>
      <c r="J18" s="13">
        <f>SUM(J9:J17)</f>
        <v>2040807.01</v>
      </c>
      <c r="K18" s="14">
        <f>SUM(K9:K17)</f>
        <v>2238057</v>
      </c>
      <c r="L18" s="13">
        <f t="shared" ref="L18:M18" si="0">SUM(L9:L17)</f>
        <v>2116132.61</v>
      </c>
      <c r="M18" s="14">
        <f t="shared" si="0"/>
        <v>2397861</v>
      </c>
      <c r="N18" s="13">
        <f>SUM(N9:N16)</f>
        <v>1652607.21</v>
      </c>
      <c r="O18" s="14">
        <f>SUM(O9:O17)</f>
        <v>2391280</v>
      </c>
      <c r="P18" s="14">
        <f>SUM(P9:P17)</f>
        <v>0</v>
      </c>
    </row>
    <row r="19" spans="1:20" x14ac:dyDescent="0.25">
      <c r="A19" s="881"/>
      <c r="B19" s="12"/>
      <c r="C19" s="13"/>
      <c r="D19" s="13"/>
      <c r="E19" s="13"/>
      <c r="F19" s="13"/>
      <c r="G19" s="13"/>
      <c r="H19" s="13"/>
      <c r="I19" s="13"/>
      <c r="J19" s="13"/>
      <c r="K19" s="14"/>
      <c r="L19" s="13"/>
      <c r="M19" s="14"/>
      <c r="N19" s="13"/>
      <c r="O19" s="14"/>
      <c r="P19" s="14"/>
    </row>
    <row r="20" spans="1:20" ht="13.8" thickBot="1" x14ac:dyDescent="0.3">
      <c r="A20" s="882"/>
      <c r="B20" s="20" t="s">
        <v>325</v>
      </c>
      <c r="C20" s="21">
        <f t="shared" ref="C20:O20" si="1">+C18</f>
        <v>1760819.2100000002</v>
      </c>
      <c r="D20" s="21">
        <f t="shared" si="1"/>
        <v>1730791.4</v>
      </c>
      <c r="E20" s="21">
        <f t="shared" si="1"/>
        <v>1748594.09</v>
      </c>
      <c r="F20" s="21">
        <f>+F18</f>
        <v>1789352.1499999997</v>
      </c>
      <c r="G20" s="21">
        <f>+G18</f>
        <v>1878957.3699999999</v>
      </c>
      <c r="H20" s="21">
        <f>+H18</f>
        <v>2008426.33</v>
      </c>
      <c r="I20" s="21">
        <f t="shared" si="1"/>
        <v>2068987.7100000002</v>
      </c>
      <c r="J20" s="21">
        <f t="shared" ref="J20" si="2">+J18</f>
        <v>2040807.01</v>
      </c>
      <c r="K20" s="22">
        <f t="shared" ref="K20:M20" si="3">+K18</f>
        <v>2238057</v>
      </c>
      <c r="L20" s="21">
        <f t="shared" si="3"/>
        <v>2116132.61</v>
      </c>
      <c r="M20" s="22">
        <f t="shared" si="3"/>
        <v>2397861</v>
      </c>
      <c r="N20" s="21">
        <f t="shared" si="1"/>
        <v>1652607.21</v>
      </c>
      <c r="O20" s="22">
        <f t="shared" si="1"/>
        <v>2391280</v>
      </c>
      <c r="P20" s="22">
        <f>+O20</f>
        <v>2391280</v>
      </c>
    </row>
    <row r="21" spans="1:20" ht="13.8" thickTop="1" x14ac:dyDescent="0.25">
      <c r="A21" s="876"/>
      <c r="B21" s="4"/>
      <c r="C21" s="24"/>
      <c r="D21" s="24"/>
      <c r="E21" s="24"/>
      <c r="F21" s="24"/>
      <c r="G21" s="24"/>
      <c r="H21" s="24"/>
      <c r="I21" s="24"/>
      <c r="J21" s="24"/>
      <c r="K21" s="24"/>
      <c r="L21" s="24"/>
      <c r="M21" s="24"/>
      <c r="N21" s="25"/>
      <c r="O21" s="24"/>
      <c r="P21" s="23"/>
      <c r="Q21" s="25"/>
      <c r="R21" s="25"/>
      <c r="S21" s="25"/>
      <c r="T21" s="54"/>
    </row>
    <row r="22" spans="1:20" x14ac:dyDescent="0.25">
      <c r="A22" s="57">
        <v>44522</v>
      </c>
      <c r="B22" s="4" t="s">
        <v>1658</v>
      </c>
      <c r="C22" s="24"/>
      <c r="D22" s="24"/>
      <c r="E22" s="24"/>
      <c r="F22" s="24"/>
      <c r="G22" s="24"/>
      <c r="H22" s="24"/>
      <c r="I22" s="24"/>
      <c r="J22" s="24"/>
      <c r="K22" s="24"/>
      <c r="L22" s="24"/>
      <c r="M22" s="24"/>
      <c r="N22" s="25"/>
      <c r="O22" s="24"/>
      <c r="P22" s="23"/>
      <c r="Q22" s="25"/>
      <c r="R22" s="25"/>
      <c r="S22" s="25"/>
      <c r="T22" s="54"/>
    </row>
    <row r="23" spans="1:20" x14ac:dyDescent="0.25">
      <c r="A23" s="57">
        <v>44587</v>
      </c>
      <c r="B23" s="95" t="s">
        <v>1871</v>
      </c>
      <c r="C23" s="24"/>
      <c r="D23" s="24"/>
      <c r="E23" s="24"/>
      <c r="F23" s="24"/>
      <c r="G23" s="24"/>
      <c r="H23" s="24"/>
      <c r="I23" s="24"/>
      <c r="J23" s="24"/>
      <c r="K23" s="24"/>
      <c r="L23" s="24"/>
      <c r="M23" s="24"/>
      <c r="N23" s="25"/>
      <c r="O23" s="24"/>
      <c r="P23" s="23"/>
      <c r="Q23" s="25"/>
      <c r="R23" s="25"/>
      <c r="S23" s="25"/>
      <c r="T23" s="54"/>
    </row>
    <row r="24" spans="1:20" ht="13.8" thickBot="1" x14ac:dyDescent="0.3">
      <c r="A24" s="57"/>
      <c r="B24" s="4"/>
      <c r="C24" s="23"/>
      <c r="D24" s="23"/>
      <c r="E24" s="23"/>
      <c r="F24" s="23"/>
      <c r="G24" s="23"/>
      <c r="H24" s="23"/>
      <c r="I24" s="23"/>
      <c r="J24" s="23"/>
      <c r="K24" s="23"/>
      <c r="L24" s="23"/>
      <c r="M24" s="23"/>
      <c r="N24" s="27"/>
      <c r="O24" s="23"/>
      <c r="P24" s="23"/>
      <c r="Q24" s="27"/>
      <c r="R24" s="27"/>
      <c r="S24" s="27"/>
    </row>
    <row r="25" spans="1:20" ht="13.8" thickTop="1" x14ac:dyDescent="0.25">
      <c r="A25" s="893"/>
      <c r="B25" s="452"/>
      <c r="C25" s="453" t="s">
        <v>127</v>
      </c>
      <c r="D25" s="454" t="s">
        <v>127</v>
      </c>
      <c r="E25" s="453" t="s">
        <v>127</v>
      </c>
      <c r="K25" s="455" t="s">
        <v>547</v>
      </c>
      <c r="L25" s="456" t="s">
        <v>9</v>
      </c>
      <c r="M25" s="457" t="s">
        <v>1073</v>
      </c>
      <c r="N25" s="456" t="s">
        <v>686</v>
      </c>
      <c r="O25" s="458"/>
      <c r="P25" s="457"/>
      <c r="Q25" s="27"/>
      <c r="R25" s="27"/>
      <c r="S25" s="27"/>
    </row>
    <row r="26" spans="1:20" ht="13.8" thickBot="1" x14ac:dyDescent="0.3">
      <c r="A26" s="894"/>
      <c r="B26" s="459"/>
      <c r="C26" s="508" t="s">
        <v>347</v>
      </c>
      <c r="D26" s="508" t="s">
        <v>722</v>
      </c>
      <c r="E26" s="462" t="s">
        <v>737</v>
      </c>
      <c r="K26" s="462" t="s">
        <v>909</v>
      </c>
      <c r="L26" s="462" t="s">
        <v>910</v>
      </c>
      <c r="M26" s="461" t="s">
        <v>1075</v>
      </c>
      <c r="N26" s="463" t="s">
        <v>1075</v>
      </c>
      <c r="O26" s="464" t="s">
        <v>1074</v>
      </c>
      <c r="P26" s="462"/>
      <c r="Q26" s="27"/>
      <c r="R26" s="27"/>
      <c r="S26" s="27"/>
    </row>
    <row r="27" spans="1:20" ht="13.8" thickTop="1" x14ac:dyDescent="0.25">
      <c r="A27" s="910"/>
      <c r="B27" s="480"/>
      <c r="C27" s="513"/>
      <c r="D27" s="513"/>
      <c r="E27" s="513"/>
      <c r="K27" s="514"/>
      <c r="L27" s="513"/>
      <c r="M27" s="500"/>
      <c r="N27" s="513"/>
      <c r="O27" s="509"/>
      <c r="P27" s="515"/>
      <c r="Q27" s="25"/>
      <c r="R27" s="25"/>
      <c r="S27" s="25"/>
    </row>
    <row r="28" spans="1:20" x14ac:dyDescent="0.25">
      <c r="A28" s="910">
        <v>5170</v>
      </c>
      <c r="B28" s="501" t="s">
        <v>375</v>
      </c>
      <c r="C28" s="513">
        <v>37150.800000000003</v>
      </c>
      <c r="D28" s="513">
        <v>37644.33</v>
      </c>
      <c r="E28" s="513">
        <v>32019.119999999999</v>
      </c>
      <c r="K28" s="500">
        <f t="shared" ref="K28:K34" si="4">+M9</f>
        <v>2045</v>
      </c>
      <c r="L28" s="652">
        <f t="shared" ref="L28:L34" si="5">+O9</f>
        <v>2045</v>
      </c>
      <c r="M28" s="500">
        <f t="shared" ref="M28:M34" si="6">+L28-K28</f>
        <v>0</v>
      </c>
      <c r="N28" s="477" t="str">
        <f t="shared" ref="N28:N34" si="7">IF(K28+L28&lt;&gt;0,IF(K28&lt;&gt;0,IF(M28&lt;&gt;0,ROUND((+M28/K28),4),""),1),"")</f>
        <v/>
      </c>
      <c r="O28" s="483"/>
      <c r="P28" s="471"/>
      <c r="Q28" s="25"/>
      <c r="R28" s="25"/>
      <c r="S28" s="25"/>
    </row>
    <row r="29" spans="1:20" x14ac:dyDescent="0.25">
      <c r="A29" s="907">
        <v>5171</v>
      </c>
      <c r="B29" s="501" t="s">
        <v>237</v>
      </c>
      <c r="C29" s="516">
        <v>752282</v>
      </c>
      <c r="D29" s="516">
        <v>789701</v>
      </c>
      <c r="E29" s="516">
        <v>794597</v>
      </c>
      <c r="K29" s="500">
        <f t="shared" si="4"/>
        <v>1066196</v>
      </c>
      <c r="L29" s="652">
        <f t="shared" si="5"/>
        <v>1062570</v>
      </c>
      <c r="M29" s="500">
        <f t="shared" si="6"/>
        <v>-3626</v>
      </c>
      <c r="N29" s="477">
        <f t="shared" si="7"/>
        <v>-3.3999999999999998E-3</v>
      </c>
      <c r="O29" s="470"/>
      <c r="P29" s="471"/>
      <c r="Q29" s="25"/>
      <c r="R29" s="25"/>
      <c r="S29" s="25"/>
    </row>
    <row r="30" spans="1:20" x14ac:dyDescent="0.25">
      <c r="A30" s="907">
        <v>5172</v>
      </c>
      <c r="B30" s="501" t="s">
        <v>238</v>
      </c>
      <c r="C30" s="516">
        <v>41378.050000000003</v>
      </c>
      <c r="D30" s="513">
        <v>34572.11</v>
      </c>
      <c r="E30" s="513">
        <v>34401.49</v>
      </c>
      <c r="K30" s="500">
        <f t="shared" si="4"/>
        <v>43000</v>
      </c>
      <c r="L30" s="652">
        <f t="shared" si="5"/>
        <v>44000</v>
      </c>
      <c r="M30" s="500">
        <f t="shared" si="6"/>
        <v>1000</v>
      </c>
      <c r="N30" s="477">
        <f t="shared" si="7"/>
        <v>2.3300000000000001E-2</v>
      </c>
      <c r="O30" s="483"/>
      <c r="P30" s="500"/>
      <c r="Q30" s="27"/>
      <c r="R30" s="27"/>
      <c r="S30" s="27"/>
    </row>
    <row r="31" spans="1:20" x14ac:dyDescent="0.25">
      <c r="A31" s="907">
        <v>5173</v>
      </c>
      <c r="B31" s="501" t="s">
        <v>239</v>
      </c>
      <c r="C31" s="516">
        <v>789.92</v>
      </c>
      <c r="D31" s="513">
        <v>1375.17</v>
      </c>
      <c r="E31" s="513"/>
      <c r="K31" s="500">
        <f t="shared" si="4"/>
        <v>10000</v>
      </c>
      <c r="L31" s="652">
        <f t="shared" si="5"/>
        <v>10000</v>
      </c>
      <c r="M31" s="500">
        <f t="shared" si="6"/>
        <v>0</v>
      </c>
      <c r="N31" s="477" t="str">
        <f t="shared" si="7"/>
        <v/>
      </c>
      <c r="O31" s="483"/>
      <c r="P31" s="500"/>
      <c r="Q31" s="27"/>
      <c r="R31" s="27"/>
      <c r="S31" s="27"/>
    </row>
    <row r="32" spans="1:20" x14ac:dyDescent="0.25">
      <c r="A32" s="907">
        <v>5174</v>
      </c>
      <c r="B32" s="501" t="s">
        <v>240</v>
      </c>
      <c r="C32" s="516">
        <v>872311.05</v>
      </c>
      <c r="D32" s="516">
        <v>808998.23</v>
      </c>
      <c r="E32" s="516">
        <v>827690.49</v>
      </c>
      <c r="K32" s="500">
        <f t="shared" si="4"/>
        <v>1194420</v>
      </c>
      <c r="L32" s="652">
        <f t="shared" si="5"/>
        <v>1185000</v>
      </c>
      <c r="M32" s="500">
        <f t="shared" si="6"/>
        <v>-9420</v>
      </c>
      <c r="N32" s="477">
        <f t="shared" si="7"/>
        <v>-7.9000000000000008E-3</v>
      </c>
      <c r="O32" s="470" t="s">
        <v>1900</v>
      </c>
      <c r="P32" s="471"/>
      <c r="Q32" s="27"/>
      <c r="R32" s="27"/>
      <c r="S32" s="27"/>
    </row>
    <row r="33" spans="1:19" x14ac:dyDescent="0.25">
      <c r="A33" s="907">
        <v>5175</v>
      </c>
      <c r="B33" s="501" t="s">
        <v>241</v>
      </c>
      <c r="C33" s="516">
        <v>15818.97</v>
      </c>
      <c r="D33" s="516">
        <v>14158.12</v>
      </c>
      <c r="E33" s="516">
        <v>12158.54</v>
      </c>
      <c r="K33" s="500">
        <f t="shared" si="4"/>
        <v>17200</v>
      </c>
      <c r="L33" s="652">
        <f t="shared" si="5"/>
        <v>17665</v>
      </c>
      <c r="M33" s="500">
        <f t="shared" si="6"/>
        <v>465</v>
      </c>
      <c r="N33" s="477">
        <f t="shared" si="7"/>
        <v>2.7E-2</v>
      </c>
      <c r="O33" s="470" t="s">
        <v>1695</v>
      </c>
      <c r="P33" s="471"/>
      <c r="Q33" s="27"/>
      <c r="R33" s="27"/>
      <c r="S33" s="27"/>
    </row>
    <row r="34" spans="1:19" x14ac:dyDescent="0.25">
      <c r="A34" s="907">
        <v>5177</v>
      </c>
      <c r="B34" s="501" t="s">
        <v>242</v>
      </c>
      <c r="C34" s="517">
        <v>40990.46</v>
      </c>
      <c r="D34" s="517">
        <v>44116.78</v>
      </c>
      <c r="E34" s="517">
        <v>47581.79</v>
      </c>
      <c r="K34" s="500">
        <f t="shared" si="4"/>
        <v>65000</v>
      </c>
      <c r="L34" s="519">
        <f t="shared" si="5"/>
        <v>70000</v>
      </c>
      <c r="M34" s="471">
        <f t="shared" si="6"/>
        <v>5000</v>
      </c>
      <c r="N34" s="477">
        <f t="shared" si="7"/>
        <v>7.6899999999999996E-2</v>
      </c>
      <c r="O34" s="470" t="s">
        <v>1698</v>
      </c>
      <c r="P34" s="471"/>
      <c r="Q34" s="27"/>
      <c r="R34" s="27"/>
      <c r="S34" s="27"/>
    </row>
    <row r="35" spans="1:19" x14ac:dyDescent="0.25">
      <c r="A35" s="876"/>
      <c r="B35" s="4"/>
      <c r="C35" s="23"/>
      <c r="D35" s="23"/>
      <c r="E35" s="23"/>
      <c r="F35" s="23"/>
      <c r="G35" s="23"/>
      <c r="K35" s="23"/>
      <c r="L35" s="23"/>
      <c r="M35" s="23"/>
      <c r="N35" s="27"/>
      <c r="O35" s="23"/>
      <c r="P35" s="23"/>
      <c r="Q35" s="27"/>
      <c r="R35" s="27"/>
      <c r="S35" s="27"/>
    </row>
    <row r="36" spans="1:19" x14ac:dyDescent="0.25">
      <c r="A36" s="876"/>
      <c r="B36" s="4" t="s">
        <v>1363</v>
      </c>
      <c r="C36" s="23"/>
      <c r="D36" s="23"/>
      <c r="E36" s="23"/>
      <c r="F36" s="23"/>
      <c r="G36" s="23"/>
      <c r="K36" s="742">
        <f>SUM(K27:K35)</f>
        <v>2397861</v>
      </c>
      <c r="L36" s="742">
        <f>SUM(L27:L35)</f>
        <v>2391280</v>
      </c>
      <c r="M36" s="202">
        <f>+L36-K36</f>
        <v>-6581</v>
      </c>
      <c r="N36" s="743">
        <f>IF(K36+L36&lt;&gt;0,IF(K36&lt;&gt;0,IF(M36&lt;&gt;0,ROUND((+M36/K36),4),""),1),"")</f>
        <v>-2.7000000000000001E-3</v>
      </c>
      <c r="O36" s="23"/>
      <c r="P36" s="23"/>
      <c r="Q36" s="27"/>
      <c r="R36" s="27"/>
      <c r="S36" s="27"/>
    </row>
    <row r="37" spans="1:19" x14ac:dyDescent="0.25">
      <c r="A37" s="876"/>
      <c r="B37" s="4"/>
      <c r="C37" s="23"/>
      <c r="D37" s="23"/>
      <c r="E37" s="23"/>
      <c r="F37" s="23"/>
      <c r="G37" s="23"/>
      <c r="H37" s="23"/>
      <c r="I37" s="23"/>
      <c r="J37" s="23"/>
      <c r="K37" s="23"/>
      <c r="L37" s="23"/>
      <c r="M37" s="23"/>
      <c r="N37" s="23"/>
      <c r="O37" s="23"/>
      <c r="P37" s="23"/>
      <c r="Q37" s="23"/>
      <c r="R37" s="23"/>
      <c r="S37" s="23"/>
    </row>
    <row r="38" spans="1:19" x14ac:dyDescent="0.25">
      <c r="A38" s="876"/>
      <c r="B38" s="4"/>
      <c r="C38" s="23"/>
      <c r="D38" s="23"/>
      <c r="E38" s="23"/>
      <c r="F38" s="23"/>
      <c r="G38" s="23"/>
      <c r="H38" s="23"/>
      <c r="I38" s="23"/>
      <c r="J38" s="23"/>
      <c r="K38" s="23"/>
      <c r="L38" s="23"/>
      <c r="M38" s="23"/>
      <c r="N38" s="23"/>
      <c r="O38" s="23"/>
      <c r="P38" s="23"/>
      <c r="Q38" s="23"/>
      <c r="R38" s="23"/>
      <c r="S38" s="23"/>
    </row>
    <row r="39" spans="1:19" x14ac:dyDescent="0.25">
      <c r="A39" s="876"/>
      <c r="B39" s="4"/>
      <c r="C39" s="23"/>
      <c r="D39" s="23"/>
      <c r="E39" s="23"/>
      <c r="F39" s="23"/>
      <c r="G39" s="23"/>
      <c r="H39" s="23"/>
      <c r="I39" s="23"/>
      <c r="J39" s="23"/>
      <c r="K39" s="23"/>
      <c r="L39" s="23"/>
      <c r="M39" s="23"/>
      <c r="N39" s="23"/>
      <c r="O39" s="23"/>
      <c r="P39" s="23"/>
      <c r="Q39" s="23"/>
      <c r="R39" s="23"/>
      <c r="S39" s="23"/>
    </row>
    <row r="40" spans="1:19" x14ac:dyDescent="0.25">
      <c r="A40" s="876"/>
      <c r="B40" s="4"/>
      <c r="C40" s="23"/>
      <c r="D40" s="23"/>
      <c r="E40" s="23"/>
      <c r="F40" s="23"/>
      <c r="G40" s="23"/>
      <c r="H40" s="23"/>
      <c r="I40" s="23"/>
      <c r="J40" s="23"/>
      <c r="K40" s="23"/>
      <c r="L40" s="23"/>
      <c r="M40" s="23"/>
      <c r="N40" s="27"/>
      <c r="O40" s="23"/>
      <c r="P40" s="23"/>
      <c r="Q40" s="27"/>
      <c r="R40" s="27"/>
      <c r="S40" s="27"/>
    </row>
    <row r="41" spans="1:19" x14ac:dyDescent="0.25">
      <c r="A41" s="876"/>
      <c r="B41" s="4"/>
      <c r="C41" s="23"/>
      <c r="D41" s="23"/>
      <c r="E41" s="23"/>
      <c r="F41" s="23"/>
      <c r="G41" s="23"/>
      <c r="H41" s="23"/>
      <c r="I41" s="23"/>
      <c r="J41" s="23"/>
      <c r="K41" s="23"/>
      <c r="L41" s="23"/>
      <c r="M41" s="23"/>
      <c r="N41" s="27"/>
      <c r="O41" s="23"/>
      <c r="P41" s="23"/>
      <c r="Q41" s="27"/>
      <c r="R41" s="27"/>
      <c r="S41" s="27"/>
    </row>
    <row r="42" spans="1:19" x14ac:dyDescent="0.25">
      <c r="A42" s="876"/>
      <c r="B42" s="4"/>
      <c r="C42" s="23"/>
      <c r="D42" s="23"/>
      <c r="E42" s="23"/>
      <c r="F42" s="23"/>
      <c r="G42" s="23"/>
      <c r="H42" s="23"/>
      <c r="I42" s="23"/>
      <c r="J42" s="23"/>
      <c r="K42" s="23"/>
      <c r="L42" s="23"/>
      <c r="M42" s="23"/>
      <c r="N42" s="23"/>
      <c r="O42" s="23"/>
      <c r="P42" s="23"/>
      <c r="Q42" s="23"/>
      <c r="R42" s="23"/>
      <c r="S42" s="23"/>
    </row>
    <row r="43" spans="1:19" x14ac:dyDescent="0.25">
      <c r="A43" s="876"/>
      <c r="B43" s="4"/>
      <c r="C43" s="23"/>
      <c r="D43" s="23"/>
      <c r="E43" s="23"/>
      <c r="F43" s="23"/>
      <c r="G43" s="23"/>
      <c r="H43" s="23"/>
      <c r="I43" s="23"/>
      <c r="J43" s="23"/>
      <c r="K43" s="23"/>
      <c r="L43" s="23"/>
      <c r="M43" s="23"/>
      <c r="N43" s="23"/>
      <c r="O43" s="23"/>
      <c r="P43" s="23"/>
      <c r="Q43" s="23"/>
      <c r="R43" s="23"/>
      <c r="S43" s="23"/>
    </row>
    <row r="44" spans="1:19" x14ac:dyDescent="0.25">
      <c r="A44" s="876"/>
      <c r="B44" s="4"/>
      <c r="C44" s="114"/>
    </row>
    <row r="45" spans="1:19" x14ac:dyDescent="0.25">
      <c r="A45" s="876"/>
      <c r="B45" s="4"/>
      <c r="C45" s="23"/>
      <c r="D45" s="23"/>
      <c r="E45" s="23"/>
      <c r="F45" s="23"/>
      <c r="G45" s="23"/>
      <c r="H45" s="23"/>
      <c r="I45" s="23"/>
      <c r="J45" s="23"/>
      <c r="K45" s="23"/>
      <c r="L45" s="23"/>
      <c r="M45" s="23"/>
      <c r="N45" s="23"/>
      <c r="O45" s="23"/>
      <c r="P45" s="23"/>
      <c r="Q45" s="23"/>
      <c r="R45" s="23"/>
      <c r="S45" s="23"/>
    </row>
    <row r="46" spans="1:19" x14ac:dyDescent="0.25">
      <c r="A46" s="876"/>
      <c r="B46" s="4"/>
      <c r="C46" s="23"/>
      <c r="D46" s="23"/>
      <c r="E46" s="23"/>
      <c r="F46" s="23"/>
      <c r="G46" s="23"/>
      <c r="H46" s="23"/>
      <c r="I46" s="23"/>
      <c r="J46" s="23"/>
      <c r="K46" s="23"/>
      <c r="L46" s="23"/>
      <c r="M46" s="23"/>
      <c r="N46" s="23"/>
      <c r="O46" s="23"/>
      <c r="P46" s="23"/>
      <c r="Q46" s="23"/>
      <c r="R46" s="23"/>
      <c r="S46" s="23"/>
    </row>
    <row r="47" spans="1:19" x14ac:dyDescent="0.25">
      <c r="A47" s="876"/>
      <c r="B47" s="4"/>
      <c r="C47" s="23"/>
      <c r="D47" s="23"/>
      <c r="E47" s="23"/>
      <c r="F47" s="23"/>
      <c r="G47" s="23"/>
      <c r="H47" s="23"/>
      <c r="I47" s="23"/>
      <c r="J47" s="23"/>
      <c r="K47" s="23"/>
      <c r="L47" s="23"/>
      <c r="M47" s="23"/>
      <c r="N47" s="23"/>
      <c r="O47" s="23"/>
      <c r="P47" s="23"/>
      <c r="Q47" s="23"/>
      <c r="R47" s="23"/>
      <c r="S47" s="23"/>
    </row>
    <row r="48" spans="1:19" x14ac:dyDescent="0.25">
      <c r="A48" s="876"/>
      <c r="B48" s="4"/>
      <c r="C48" s="23"/>
      <c r="D48" s="23"/>
      <c r="E48" s="23"/>
      <c r="F48" s="23"/>
      <c r="G48" s="23"/>
      <c r="H48" s="23"/>
      <c r="I48" s="23"/>
      <c r="J48" s="23"/>
      <c r="K48" s="23"/>
      <c r="L48" s="23"/>
      <c r="M48" s="23"/>
      <c r="N48" s="23"/>
      <c r="O48" s="23"/>
      <c r="P48" s="23"/>
      <c r="Q48" s="23"/>
      <c r="R48" s="23"/>
      <c r="S48" s="23"/>
    </row>
    <row r="49" spans="1:19" x14ac:dyDescent="0.25">
      <c r="A49" s="876"/>
      <c r="B49" s="4"/>
      <c r="C49" s="23"/>
      <c r="D49" s="23"/>
      <c r="E49" s="23"/>
      <c r="F49" s="23"/>
      <c r="G49" s="23"/>
      <c r="H49" s="23"/>
      <c r="I49" s="23"/>
      <c r="J49" s="23"/>
      <c r="K49" s="23"/>
      <c r="L49" s="23"/>
      <c r="M49" s="23"/>
      <c r="N49" s="23"/>
      <c r="O49" s="23"/>
      <c r="P49" s="23"/>
      <c r="Q49" s="23"/>
      <c r="R49" s="23"/>
      <c r="S49" s="23"/>
    </row>
    <row r="50" spans="1:19" x14ac:dyDescent="0.25">
      <c r="A50" s="876"/>
      <c r="B50" s="4"/>
      <c r="C50" s="23"/>
      <c r="D50" s="23"/>
      <c r="E50" s="23"/>
      <c r="F50" s="23"/>
      <c r="G50" s="23"/>
      <c r="H50" s="23"/>
      <c r="I50" s="23"/>
      <c r="J50" s="23"/>
      <c r="K50" s="23"/>
      <c r="L50" s="23"/>
      <c r="M50" s="23"/>
      <c r="N50" s="23"/>
      <c r="O50" s="23"/>
      <c r="P50" s="23"/>
      <c r="Q50" s="23"/>
      <c r="R50" s="23"/>
      <c r="S50" s="23"/>
    </row>
    <row r="51" spans="1:19" x14ac:dyDescent="0.25">
      <c r="A51" s="876"/>
      <c r="B51" s="4"/>
      <c r="C51" s="23"/>
      <c r="D51" s="23"/>
      <c r="E51" s="23"/>
      <c r="F51" s="23"/>
      <c r="G51" s="23"/>
      <c r="H51" s="23"/>
      <c r="I51" s="23"/>
      <c r="J51" s="23"/>
      <c r="K51" s="23"/>
      <c r="L51" s="23"/>
      <c r="M51" s="23"/>
      <c r="N51" s="27"/>
      <c r="O51" s="23"/>
      <c r="P51" s="23"/>
      <c r="Q51" s="27"/>
      <c r="R51" s="27"/>
      <c r="S51" s="27"/>
    </row>
    <row r="52" spans="1:19" x14ac:dyDescent="0.25">
      <c r="A52" s="876"/>
      <c r="B52" s="4"/>
      <c r="C52" s="23"/>
      <c r="D52" s="23"/>
      <c r="E52" s="23"/>
      <c r="F52" s="23"/>
      <c r="G52" s="23"/>
      <c r="H52" s="23"/>
      <c r="I52" s="23"/>
      <c r="J52" s="23"/>
      <c r="K52" s="23"/>
      <c r="L52" s="23"/>
      <c r="M52" s="23"/>
      <c r="N52" s="27"/>
      <c r="O52" s="23"/>
      <c r="P52" s="23"/>
      <c r="Q52" s="27"/>
      <c r="R52" s="27"/>
      <c r="S52" s="27"/>
    </row>
    <row r="53" spans="1:19" x14ac:dyDescent="0.25">
      <c r="A53" s="876"/>
      <c r="B53" s="4"/>
      <c r="C53" s="23"/>
      <c r="D53" s="23"/>
      <c r="E53" s="23"/>
      <c r="F53" s="23"/>
      <c r="G53" s="23"/>
      <c r="H53" s="23"/>
      <c r="I53" s="23"/>
      <c r="J53" s="23"/>
      <c r="K53" s="23"/>
      <c r="L53" s="23"/>
      <c r="M53" s="23"/>
      <c r="N53" s="23"/>
      <c r="O53" s="23"/>
      <c r="P53" s="23"/>
      <c r="Q53" s="23"/>
      <c r="R53" s="23"/>
      <c r="S53" s="23"/>
    </row>
    <row r="54" spans="1:19" x14ac:dyDescent="0.25">
      <c r="A54" s="876"/>
      <c r="B54" s="4"/>
      <c r="C54" s="23"/>
      <c r="D54" s="23"/>
      <c r="E54" s="23"/>
      <c r="F54" s="23"/>
      <c r="G54" s="23"/>
      <c r="H54" s="23"/>
      <c r="I54" s="23"/>
      <c r="J54" s="23"/>
      <c r="K54" s="23"/>
      <c r="L54" s="23"/>
      <c r="M54" s="23"/>
      <c r="N54" s="23"/>
      <c r="O54" s="23"/>
      <c r="P54" s="23"/>
      <c r="Q54" s="23"/>
      <c r="R54" s="23"/>
      <c r="S54" s="23"/>
    </row>
    <row r="55" spans="1:19" x14ac:dyDescent="0.25">
      <c r="A55" s="876"/>
      <c r="B55" s="4"/>
      <c r="C55" s="114"/>
    </row>
    <row r="56" spans="1:19" x14ac:dyDescent="0.25">
      <c r="A56" s="876"/>
      <c r="B56" s="4"/>
      <c r="C56" s="23"/>
      <c r="D56" s="23"/>
      <c r="E56" s="23"/>
      <c r="F56" s="23"/>
      <c r="G56" s="23"/>
      <c r="H56" s="23"/>
      <c r="I56" s="23"/>
      <c r="J56" s="23"/>
      <c r="K56" s="23"/>
      <c r="L56" s="23"/>
      <c r="M56" s="23"/>
      <c r="N56" s="23"/>
      <c r="O56" s="23"/>
      <c r="P56" s="23"/>
      <c r="Q56" s="23"/>
      <c r="R56" s="23"/>
      <c r="S56" s="23"/>
    </row>
    <row r="57" spans="1:19" x14ac:dyDescent="0.25">
      <c r="A57" s="876"/>
      <c r="B57" s="4"/>
      <c r="C57" s="23"/>
      <c r="D57" s="23"/>
      <c r="E57" s="23"/>
      <c r="F57" s="23"/>
      <c r="G57" s="23"/>
      <c r="H57" s="23"/>
      <c r="I57" s="23"/>
      <c r="J57" s="23"/>
      <c r="K57" s="23"/>
      <c r="L57" s="23"/>
      <c r="M57" s="23"/>
      <c r="N57" s="23"/>
      <c r="O57" s="23"/>
      <c r="P57" s="23"/>
      <c r="Q57" s="23"/>
      <c r="R57" s="23"/>
      <c r="S57" s="23"/>
    </row>
    <row r="58" spans="1:19" x14ac:dyDescent="0.25">
      <c r="A58" s="876"/>
      <c r="B58" s="4"/>
      <c r="C58" s="23"/>
      <c r="D58" s="23"/>
      <c r="E58" s="23"/>
      <c r="F58" s="23"/>
      <c r="G58" s="23"/>
      <c r="H58" s="23"/>
      <c r="I58" s="23"/>
      <c r="J58" s="23"/>
      <c r="K58" s="23"/>
      <c r="L58" s="23"/>
      <c r="M58" s="23"/>
      <c r="N58" s="23"/>
      <c r="O58" s="23"/>
      <c r="P58" s="23"/>
      <c r="Q58" s="23"/>
      <c r="R58" s="23"/>
      <c r="S58" s="23"/>
    </row>
    <row r="59" spans="1:19" x14ac:dyDescent="0.25">
      <c r="A59" s="876"/>
      <c r="B59" s="4"/>
      <c r="C59" s="23"/>
      <c r="D59" s="23"/>
      <c r="E59" s="23"/>
      <c r="F59" s="23"/>
      <c r="G59" s="23"/>
      <c r="H59" s="23"/>
      <c r="I59" s="23"/>
      <c r="J59" s="23"/>
      <c r="K59" s="23"/>
      <c r="L59" s="23"/>
      <c r="M59" s="23"/>
      <c r="N59" s="23"/>
      <c r="O59" s="23"/>
      <c r="P59" s="23"/>
      <c r="Q59" s="23"/>
      <c r="R59" s="23"/>
      <c r="S59" s="23"/>
    </row>
    <row r="60" spans="1:19" x14ac:dyDescent="0.25">
      <c r="A60" s="876"/>
      <c r="B60" s="4"/>
      <c r="C60" s="23"/>
      <c r="D60" s="23"/>
      <c r="E60" s="23"/>
      <c r="F60" s="23"/>
      <c r="G60" s="23"/>
      <c r="H60" s="23"/>
      <c r="I60" s="23"/>
      <c r="J60" s="23"/>
      <c r="K60" s="23"/>
      <c r="L60" s="23"/>
      <c r="M60" s="23"/>
      <c r="N60" s="23"/>
      <c r="O60" s="23"/>
      <c r="P60" s="23"/>
      <c r="Q60" s="23"/>
      <c r="R60" s="23"/>
      <c r="S60" s="23"/>
    </row>
    <row r="61" spans="1:19" x14ac:dyDescent="0.25">
      <c r="A61" s="876"/>
      <c r="B61" s="4"/>
      <c r="C61" s="23"/>
      <c r="D61" s="23"/>
      <c r="E61" s="23"/>
      <c r="F61" s="23"/>
      <c r="G61" s="23"/>
      <c r="H61" s="23"/>
      <c r="I61" s="23"/>
      <c r="J61" s="23"/>
      <c r="K61" s="23"/>
      <c r="L61" s="23"/>
      <c r="M61" s="23"/>
      <c r="N61" s="23"/>
      <c r="O61" s="23"/>
      <c r="P61" s="23"/>
      <c r="Q61" s="23"/>
      <c r="R61" s="23"/>
      <c r="S61" s="23"/>
    </row>
    <row r="62" spans="1:19" x14ac:dyDescent="0.25">
      <c r="A62" s="876"/>
      <c r="B62" s="4"/>
      <c r="C62" s="23"/>
      <c r="D62" s="23"/>
      <c r="E62" s="23"/>
      <c r="F62" s="23"/>
      <c r="G62" s="23"/>
      <c r="H62" s="23"/>
      <c r="I62" s="23"/>
      <c r="J62" s="23"/>
      <c r="K62" s="23"/>
      <c r="L62" s="23"/>
      <c r="M62" s="23"/>
      <c r="N62" s="27"/>
      <c r="O62" s="23"/>
      <c r="P62" s="23"/>
      <c r="Q62" s="27"/>
      <c r="R62" s="27"/>
      <c r="S62" s="27"/>
    </row>
    <row r="63" spans="1:19" x14ac:dyDescent="0.25">
      <c r="A63" s="876"/>
      <c r="B63" s="4"/>
      <c r="C63" s="23"/>
      <c r="D63" s="23"/>
      <c r="E63" s="23"/>
      <c r="F63" s="23"/>
      <c r="G63" s="23"/>
      <c r="H63" s="23"/>
      <c r="I63" s="23"/>
      <c r="J63" s="23"/>
      <c r="K63" s="23"/>
      <c r="L63" s="23"/>
      <c r="M63" s="23"/>
      <c r="N63" s="27"/>
      <c r="O63" s="23"/>
      <c r="P63" s="23"/>
      <c r="Q63" s="27"/>
      <c r="R63" s="27"/>
      <c r="S63" s="27"/>
    </row>
    <row r="64" spans="1:19" x14ac:dyDescent="0.25">
      <c r="A64" s="876"/>
      <c r="B64" s="4"/>
      <c r="C64" s="23"/>
      <c r="D64" s="23"/>
      <c r="E64" s="23"/>
      <c r="F64" s="23"/>
      <c r="G64" s="23"/>
      <c r="H64" s="23"/>
      <c r="I64" s="23"/>
      <c r="J64" s="23"/>
      <c r="K64" s="23"/>
      <c r="L64" s="23"/>
      <c r="M64" s="23"/>
      <c r="N64" s="27"/>
      <c r="O64" s="23"/>
      <c r="P64" s="23"/>
      <c r="Q64" s="27"/>
      <c r="R64" s="27"/>
      <c r="S64" s="27"/>
    </row>
    <row r="65" spans="1:19" x14ac:dyDescent="0.25">
      <c r="A65" s="876"/>
      <c r="B65" s="4"/>
      <c r="C65" s="23"/>
      <c r="D65" s="23"/>
      <c r="E65" s="23"/>
      <c r="F65" s="23"/>
      <c r="G65" s="23"/>
      <c r="H65" s="23"/>
      <c r="I65" s="23"/>
      <c r="J65" s="23"/>
      <c r="K65" s="23"/>
      <c r="L65" s="23"/>
      <c r="M65" s="23"/>
      <c r="N65" s="27"/>
      <c r="O65" s="23"/>
      <c r="P65" s="23"/>
      <c r="Q65" s="27"/>
      <c r="R65" s="27"/>
      <c r="S65" s="27"/>
    </row>
    <row r="66" spans="1:19" x14ac:dyDescent="0.25">
      <c r="A66" s="876"/>
      <c r="B66" s="4"/>
      <c r="C66" s="23"/>
      <c r="D66" s="23"/>
      <c r="E66" s="23"/>
      <c r="F66" s="23"/>
      <c r="G66" s="23"/>
      <c r="H66" s="23"/>
      <c r="I66" s="23"/>
      <c r="J66" s="23"/>
      <c r="K66" s="23"/>
      <c r="L66" s="23"/>
      <c r="M66" s="23"/>
      <c r="N66" s="27"/>
      <c r="O66" s="23"/>
      <c r="P66" s="23"/>
      <c r="Q66" s="27"/>
      <c r="R66" s="27"/>
      <c r="S66" s="27"/>
    </row>
    <row r="67" spans="1:19" x14ac:dyDescent="0.25">
      <c r="A67" s="876"/>
      <c r="B67" s="4"/>
      <c r="C67" s="23"/>
      <c r="D67" s="23"/>
      <c r="E67" s="23"/>
      <c r="F67" s="23"/>
      <c r="G67" s="23"/>
      <c r="H67" s="23"/>
      <c r="I67" s="23"/>
      <c r="J67" s="23"/>
      <c r="K67" s="23"/>
      <c r="L67" s="23"/>
      <c r="M67" s="23"/>
      <c r="N67" s="27"/>
      <c r="O67" s="23"/>
      <c r="P67" s="23"/>
      <c r="Q67" s="27"/>
      <c r="R67" s="27"/>
      <c r="S67" s="27"/>
    </row>
    <row r="68" spans="1:19" x14ac:dyDescent="0.25">
      <c r="A68" s="876"/>
      <c r="B68" s="4"/>
      <c r="C68" s="23"/>
      <c r="D68" s="23"/>
      <c r="E68" s="23"/>
      <c r="F68" s="23"/>
      <c r="G68" s="23"/>
      <c r="H68" s="23"/>
      <c r="I68" s="23"/>
      <c r="J68" s="23"/>
      <c r="K68" s="23"/>
      <c r="L68" s="23"/>
      <c r="M68" s="23"/>
      <c r="N68" s="27"/>
      <c r="O68" s="23"/>
      <c r="P68" s="23"/>
      <c r="Q68" s="27"/>
      <c r="R68" s="27"/>
      <c r="S68" s="27"/>
    </row>
    <row r="69" spans="1:19" x14ac:dyDescent="0.25">
      <c r="A69" s="876"/>
      <c r="B69" s="4"/>
      <c r="C69" s="23"/>
      <c r="D69" s="23"/>
      <c r="E69" s="23"/>
      <c r="F69" s="23"/>
      <c r="G69" s="23"/>
      <c r="H69" s="23"/>
      <c r="I69" s="23"/>
      <c r="J69" s="23"/>
      <c r="K69" s="23"/>
      <c r="L69" s="23"/>
      <c r="M69" s="23"/>
      <c r="N69" s="27"/>
      <c r="O69" s="23"/>
      <c r="P69" s="23"/>
      <c r="Q69" s="27"/>
      <c r="R69" s="27"/>
      <c r="S69" s="27"/>
    </row>
    <row r="70" spans="1:19" x14ac:dyDescent="0.25">
      <c r="A70" s="876"/>
      <c r="B70" s="4"/>
      <c r="C70" s="23"/>
      <c r="D70" s="23"/>
      <c r="E70" s="23"/>
      <c r="F70" s="23"/>
      <c r="G70" s="23"/>
      <c r="H70" s="23"/>
      <c r="I70" s="23"/>
      <c r="J70" s="23"/>
      <c r="K70" s="23"/>
      <c r="L70" s="23"/>
      <c r="M70" s="23"/>
      <c r="N70" s="27"/>
      <c r="O70" s="23"/>
      <c r="P70" s="23"/>
      <c r="Q70" s="27"/>
      <c r="R70" s="27"/>
      <c r="S70" s="27"/>
    </row>
    <row r="71" spans="1:19" x14ac:dyDescent="0.25">
      <c r="A71" s="876"/>
      <c r="B71" s="4"/>
      <c r="C71" s="23"/>
      <c r="D71" s="23"/>
      <c r="E71" s="23"/>
      <c r="F71" s="23"/>
      <c r="G71" s="23"/>
      <c r="H71" s="23"/>
      <c r="I71" s="23"/>
      <c r="J71" s="23"/>
      <c r="K71" s="23"/>
      <c r="L71" s="23"/>
      <c r="M71" s="23"/>
      <c r="N71" s="27"/>
      <c r="O71" s="23"/>
      <c r="P71" s="23"/>
      <c r="Q71" s="27"/>
      <c r="R71" s="27"/>
      <c r="S71" s="27"/>
    </row>
    <row r="72" spans="1:19" x14ac:dyDescent="0.25">
      <c r="A72" s="876"/>
      <c r="B72" s="4"/>
      <c r="C72" s="23"/>
      <c r="D72" s="23"/>
      <c r="E72" s="23"/>
      <c r="F72" s="23"/>
      <c r="G72" s="23"/>
      <c r="H72" s="23"/>
      <c r="I72" s="23"/>
      <c r="J72" s="23"/>
      <c r="K72" s="23"/>
      <c r="L72" s="23"/>
      <c r="M72" s="23"/>
      <c r="N72" s="4"/>
      <c r="O72" s="23"/>
      <c r="P72" s="23"/>
      <c r="Q72" s="4"/>
      <c r="R72" s="4"/>
      <c r="S72" s="4"/>
    </row>
    <row r="73" spans="1:19" x14ac:dyDescent="0.25">
      <c r="A73" s="876"/>
      <c r="B73" s="4"/>
      <c r="C73" s="23"/>
      <c r="D73" s="23"/>
      <c r="E73" s="23"/>
      <c r="F73" s="23"/>
      <c r="G73" s="23"/>
      <c r="H73" s="23"/>
      <c r="I73" s="23"/>
      <c r="J73" s="23"/>
      <c r="K73" s="23"/>
      <c r="L73" s="23"/>
      <c r="M73" s="23"/>
      <c r="N73" s="4"/>
      <c r="O73" s="23"/>
      <c r="P73" s="23"/>
      <c r="Q73" s="4"/>
      <c r="R73" s="4"/>
      <c r="S73" s="4"/>
    </row>
    <row r="74" spans="1:19" x14ac:dyDescent="0.25">
      <c r="A74" s="876"/>
      <c r="B74" s="4"/>
      <c r="C74" s="23"/>
      <c r="D74" s="23"/>
      <c r="E74" s="23"/>
      <c r="F74" s="23"/>
      <c r="G74" s="23"/>
      <c r="H74" s="23"/>
      <c r="I74" s="23"/>
      <c r="J74" s="23"/>
      <c r="K74" s="23"/>
      <c r="L74" s="23"/>
      <c r="M74" s="23"/>
      <c r="N74" s="4"/>
      <c r="O74" s="23"/>
      <c r="P74" s="23"/>
      <c r="Q74" s="4"/>
      <c r="R74" s="4"/>
      <c r="S74" s="4"/>
    </row>
    <row r="75" spans="1:19" x14ac:dyDescent="0.25">
      <c r="A75" s="876"/>
      <c r="B75" s="4"/>
      <c r="C75" s="23"/>
      <c r="D75" s="23"/>
      <c r="E75" s="23"/>
      <c r="F75" s="23"/>
      <c r="G75" s="23"/>
      <c r="H75" s="23"/>
      <c r="I75" s="23"/>
      <c r="J75" s="23"/>
      <c r="K75" s="23"/>
      <c r="L75" s="23"/>
      <c r="M75" s="23"/>
      <c r="N75" s="4"/>
      <c r="O75" s="23"/>
      <c r="P75" s="23"/>
      <c r="Q75" s="4"/>
      <c r="R75" s="4"/>
      <c r="S75" s="4"/>
    </row>
    <row r="76" spans="1:19" x14ac:dyDescent="0.25">
      <c r="A76" s="876"/>
      <c r="B76" s="4"/>
      <c r="C76" s="23"/>
      <c r="D76" s="23"/>
      <c r="E76" s="23"/>
      <c r="F76" s="23"/>
      <c r="G76" s="23"/>
      <c r="H76" s="23"/>
      <c r="I76" s="23"/>
      <c r="J76" s="23"/>
      <c r="K76" s="23"/>
      <c r="L76" s="23"/>
      <c r="M76" s="23"/>
      <c r="N76" s="4"/>
      <c r="O76" s="23"/>
      <c r="P76" s="23"/>
      <c r="Q76" s="4"/>
      <c r="R76" s="4"/>
      <c r="S76" s="4"/>
    </row>
    <row r="77" spans="1:19" x14ac:dyDescent="0.25">
      <c r="A77" s="876"/>
      <c r="B77" s="4"/>
      <c r="C77" s="23"/>
      <c r="D77" s="23"/>
      <c r="E77" s="23"/>
      <c r="F77" s="23"/>
      <c r="G77" s="23"/>
      <c r="H77" s="23"/>
      <c r="I77" s="23"/>
      <c r="J77" s="23"/>
      <c r="K77" s="23"/>
      <c r="L77" s="23"/>
      <c r="M77" s="23"/>
      <c r="N77" s="4"/>
      <c r="O77" s="23"/>
      <c r="P77" s="23"/>
      <c r="Q77" s="4"/>
      <c r="R77" s="4"/>
      <c r="S77" s="4"/>
    </row>
    <row r="78" spans="1:19" x14ac:dyDescent="0.25">
      <c r="A78" s="876"/>
      <c r="B78" s="4"/>
      <c r="C78" s="23"/>
      <c r="D78" s="23"/>
      <c r="E78" s="23"/>
      <c r="F78" s="23"/>
      <c r="G78" s="23"/>
      <c r="H78" s="23"/>
      <c r="I78" s="23"/>
      <c r="J78" s="23"/>
      <c r="K78" s="23"/>
      <c r="L78" s="23"/>
      <c r="M78" s="23"/>
      <c r="N78" s="4"/>
      <c r="O78" s="23"/>
      <c r="P78" s="23"/>
      <c r="Q78" s="4"/>
      <c r="R78" s="4"/>
      <c r="S78" s="4"/>
    </row>
    <row r="79" spans="1:19" x14ac:dyDescent="0.25">
      <c r="A79" s="876"/>
      <c r="B79" s="4"/>
      <c r="C79" s="23"/>
      <c r="D79" s="23"/>
      <c r="E79" s="23"/>
      <c r="F79" s="23"/>
      <c r="G79" s="23"/>
      <c r="H79" s="23"/>
      <c r="I79" s="23"/>
      <c r="J79" s="23"/>
      <c r="K79" s="23"/>
      <c r="L79" s="23"/>
      <c r="M79" s="23"/>
      <c r="N79" s="4"/>
      <c r="O79" s="23"/>
      <c r="P79" s="23"/>
      <c r="Q79" s="4"/>
      <c r="R79" s="4"/>
      <c r="S79" s="4"/>
    </row>
    <row r="80" spans="1:19" x14ac:dyDescent="0.25">
      <c r="A80" s="876"/>
      <c r="B80" s="4"/>
      <c r="C80" s="23"/>
      <c r="D80" s="23"/>
      <c r="E80" s="23"/>
      <c r="F80" s="23"/>
      <c r="G80" s="23"/>
      <c r="H80" s="23"/>
      <c r="I80" s="23"/>
      <c r="J80" s="23"/>
      <c r="K80" s="23"/>
      <c r="L80" s="23"/>
      <c r="M80" s="23"/>
      <c r="N80" s="4"/>
      <c r="O80" s="23"/>
      <c r="P80" s="23"/>
      <c r="Q80" s="4"/>
      <c r="R80" s="4"/>
      <c r="S80" s="4"/>
    </row>
    <row r="81" spans="1:19" x14ac:dyDescent="0.25">
      <c r="A81" s="876"/>
      <c r="B81" s="4"/>
      <c r="C81" s="23"/>
      <c r="D81" s="23"/>
      <c r="E81" s="23"/>
      <c r="F81" s="23"/>
      <c r="G81" s="23"/>
      <c r="H81" s="23"/>
      <c r="I81" s="23"/>
      <c r="J81" s="23"/>
      <c r="K81" s="23"/>
      <c r="L81" s="23"/>
      <c r="M81" s="23"/>
      <c r="N81" s="4"/>
      <c r="O81" s="23"/>
      <c r="P81" s="23"/>
      <c r="Q81" s="4"/>
      <c r="R81" s="4"/>
      <c r="S81" s="4"/>
    </row>
    <row r="82" spans="1:19" x14ac:dyDescent="0.25">
      <c r="A82" s="876"/>
      <c r="B82" s="4"/>
      <c r="C82" s="23"/>
      <c r="D82" s="23"/>
      <c r="E82" s="23"/>
      <c r="F82" s="23"/>
      <c r="G82" s="23"/>
      <c r="H82" s="23"/>
      <c r="I82" s="23"/>
      <c r="J82" s="23"/>
      <c r="K82" s="23"/>
      <c r="L82" s="23"/>
      <c r="M82" s="23"/>
      <c r="N82" s="4"/>
      <c r="O82" s="23"/>
      <c r="P82" s="23"/>
      <c r="Q82" s="4"/>
      <c r="R82" s="4"/>
      <c r="S82" s="4"/>
    </row>
    <row r="83" spans="1:19" x14ac:dyDescent="0.25">
      <c r="A83" s="876"/>
      <c r="B83" s="4"/>
      <c r="C83" s="23"/>
      <c r="D83" s="23"/>
      <c r="E83" s="23"/>
      <c r="F83" s="23"/>
      <c r="G83" s="23"/>
      <c r="H83" s="23"/>
      <c r="I83" s="23"/>
      <c r="J83" s="23"/>
      <c r="K83" s="23"/>
      <c r="L83" s="23"/>
      <c r="M83" s="23"/>
      <c r="N83" s="4"/>
      <c r="O83" s="23"/>
      <c r="P83" s="23"/>
      <c r="Q83" s="4"/>
      <c r="R83" s="4"/>
      <c r="S83" s="4"/>
    </row>
    <row r="84" spans="1:19" x14ac:dyDescent="0.25">
      <c r="A84" s="876"/>
      <c r="B84" s="4"/>
      <c r="C84" s="23"/>
      <c r="D84" s="23"/>
      <c r="E84" s="23"/>
      <c r="F84" s="23"/>
      <c r="G84" s="23"/>
      <c r="H84" s="23"/>
      <c r="I84" s="23"/>
      <c r="J84" s="23"/>
      <c r="K84" s="23"/>
      <c r="L84" s="23"/>
      <c r="M84" s="23"/>
      <c r="N84" s="4"/>
      <c r="O84" s="23"/>
      <c r="P84" s="23"/>
      <c r="Q84" s="4"/>
      <c r="R84" s="4"/>
      <c r="S84" s="4"/>
    </row>
    <row r="85" spans="1:19" x14ac:dyDescent="0.25">
      <c r="A85" s="876"/>
      <c r="B85" s="4"/>
      <c r="C85" s="23"/>
      <c r="D85" s="23"/>
      <c r="E85" s="23"/>
      <c r="F85" s="23"/>
      <c r="G85" s="23"/>
      <c r="H85" s="23"/>
      <c r="I85" s="23"/>
      <c r="J85" s="23"/>
      <c r="K85" s="23"/>
      <c r="L85" s="23"/>
      <c r="M85" s="23"/>
      <c r="N85" s="4"/>
      <c r="O85" s="23"/>
      <c r="P85" s="23"/>
      <c r="Q85" s="4"/>
      <c r="R85" s="4"/>
      <c r="S85" s="4"/>
    </row>
    <row r="86" spans="1:19" x14ac:dyDescent="0.25">
      <c r="A86" s="876"/>
      <c r="B86" s="4"/>
      <c r="C86" s="23"/>
      <c r="D86" s="23"/>
      <c r="E86" s="23"/>
      <c r="F86" s="23"/>
      <c r="G86" s="23"/>
      <c r="H86" s="23"/>
      <c r="I86" s="23"/>
      <c r="J86" s="23"/>
      <c r="K86" s="23"/>
      <c r="L86" s="23"/>
      <c r="M86" s="23"/>
      <c r="N86" s="4"/>
      <c r="O86" s="23"/>
      <c r="P86" s="23"/>
      <c r="Q86" s="4"/>
      <c r="R86" s="4"/>
      <c r="S86" s="4"/>
    </row>
    <row r="87" spans="1:19" x14ac:dyDescent="0.25">
      <c r="A87" s="876"/>
      <c r="B87" s="4"/>
      <c r="C87" s="23"/>
      <c r="D87" s="23"/>
      <c r="E87" s="23"/>
      <c r="F87" s="23"/>
      <c r="G87" s="23"/>
      <c r="H87" s="23"/>
      <c r="I87" s="23"/>
      <c r="J87" s="23"/>
      <c r="K87" s="23"/>
      <c r="L87" s="23"/>
      <c r="M87" s="23"/>
      <c r="N87" s="4"/>
      <c r="O87" s="23"/>
      <c r="P87" s="23"/>
      <c r="Q87" s="4"/>
      <c r="R87" s="4"/>
      <c r="S87" s="4"/>
    </row>
    <row r="88" spans="1:19" x14ac:dyDescent="0.25">
      <c r="A88" s="876"/>
      <c r="B88" s="4"/>
      <c r="C88" s="23"/>
      <c r="D88" s="23"/>
      <c r="E88" s="23"/>
      <c r="F88" s="23"/>
      <c r="G88" s="23"/>
      <c r="H88" s="23"/>
      <c r="I88" s="23"/>
      <c r="J88" s="23"/>
      <c r="K88" s="23"/>
      <c r="L88" s="23"/>
      <c r="M88" s="23"/>
      <c r="N88" s="4"/>
      <c r="O88" s="23"/>
      <c r="P88" s="23"/>
      <c r="Q88" s="4"/>
      <c r="R88" s="4"/>
      <c r="S88" s="4"/>
    </row>
    <row r="89" spans="1:19" x14ac:dyDescent="0.25">
      <c r="A89" s="876"/>
      <c r="B89" s="4"/>
      <c r="C89" s="23"/>
      <c r="D89" s="23"/>
      <c r="E89" s="23"/>
      <c r="F89" s="23"/>
      <c r="G89" s="23"/>
      <c r="H89" s="23"/>
      <c r="I89" s="23"/>
      <c r="J89" s="23"/>
      <c r="K89" s="23"/>
      <c r="L89" s="23"/>
      <c r="M89" s="23"/>
      <c r="N89" s="4"/>
      <c r="O89" s="23"/>
      <c r="P89" s="23"/>
      <c r="Q89" s="4"/>
      <c r="R89" s="4"/>
      <c r="S89" s="4"/>
    </row>
    <row r="90" spans="1:19" x14ac:dyDescent="0.25">
      <c r="A90" s="876"/>
      <c r="B90" s="4"/>
      <c r="C90" s="23"/>
      <c r="D90" s="23"/>
      <c r="E90" s="23"/>
      <c r="F90" s="23"/>
      <c r="G90" s="23"/>
      <c r="H90" s="23"/>
      <c r="I90" s="23"/>
      <c r="J90" s="23"/>
      <c r="K90" s="23"/>
      <c r="L90" s="23"/>
      <c r="M90" s="23"/>
      <c r="N90" s="4"/>
      <c r="O90" s="23"/>
      <c r="P90" s="23"/>
      <c r="Q90" s="4"/>
      <c r="R90" s="4"/>
      <c r="S90" s="4"/>
    </row>
    <row r="91" spans="1:19" x14ac:dyDescent="0.25">
      <c r="A91" s="876"/>
      <c r="B91" s="4"/>
      <c r="C91" s="23"/>
      <c r="D91" s="23"/>
      <c r="E91" s="23"/>
      <c r="F91" s="23"/>
      <c r="G91" s="23"/>
      <c r="H91" s="23"/>
      <c r="I91" s="23"/>
      <c r="J91" s="23"/>
      <c r="K91" s="23"/>
      <c r="L91" s="23"/>
      <c r="M91" s="23"/>
      <c r="N91" s="4"/>
      <c r="O91" s="23"/>
      <c r="P91" s="23"/>
      <c r="Q91" s="4"/>
      <c r="R91" s="4"/>
      <c r="S91" s="4"/>
    </row>
    <row r="92" spans="1:19" x14ac:dyDescent="0.25">
      <c r="A92" s="876"/>
      <c r="B92" s="4"/>
      <c r="C92" s="23"/>
      <c r="D92" s="23"/>
      <c r="E92" s="23"/>
      <c r="F92" s="23"/>
      <c r="G92" s="23"/>
      <c r="H92" s="23"/>
      <c r="I92" s="23"/>
      <c r="J92" s="23"/>
      <c r="K92" s="23"/>
      <c r="L92" s="23"/>
      <c r="M92" s="23"/>
      <c r="N92" s="4"/>
      <c r="O92" s="23"/>
      <c r="P92" s="23"/>
      <c r="Q92" s="4"/>
      <c r="R92" s="4"/>
      <c r="S92" s="4"/>
    </row>
    <row r="93" spans="1:19" x14ac:dyDescent="0.25">
      <c r="A93" s="876"/>
      <c r="B93" s="4"/>
      <c r="C93" s="23"/>
      <c r="D93" s="23"/>
      <c r="E93" s="23"/>
      <c r="F93" s="23"/>
      <c r="G93" s="23"/>
      <c r="H93" s="23"/>
      <c r="I93" s="23"/>
      <c r="J93" s="23"/>
      <c r="K93" s="23"/>
      <c r="L93" s="23"/>
      <c r="M93" s="23"/>
      <c r="N93" s="4"/>
      <c r="O93" s="23"/>
      <c r="P93" s="23"/>
      <c r="Q93" s="4"/>
      <c r="R93" s="4"/>
      <c r="S93" s="4"/>
    </row>
    <row r="94" spans="1:19" x14ac:dyDescent="0.25">
      <c r="A94" s="876"/>
      <c r="B94" s="4"/>
      <c r="C94" s="23"/>
      <c r="D94" s="23"/>
      <c r="E94" s="23"/>
      <c r="F94" s="23"/>
      <c r="G94" s="23"/>
      <c r="H94" s="23"/>
      <c r="I94" s="23"/>
      <c r="J94" s="23"/>
      <c r="K94" s="23"/>
      <c r="L94" s="23"/>
      <c r="M94" s="23"/>
      <c r="N94" s="4"/>
      <c r="O94" s="23"/>
      <c r="P94" s="23"/>
      <c r="Q94" s="4"/>
      <c r="R94" s="4"/>
      <c r="S94" s="4"/>
    </row>
    <row r="95" spans="1:19" x14ac:dyDescent="0.25">
      <c r="A95" s="876"/>
      <c r="B95" s="4"/>
      <c r="C95" s="23"/>
      <c r="D95" s="23"/>
      <c r="E95" s="23"/>
      <c r="F95" s="23"/>
      <c r="G95" s="23"/>
      <c r="H95" s="23"/>
      <c r="I95" s="23"/>
      <c r="J95" s="23"/>
      <c r="K95" s="23"/>
      <c r="L95" s="23"/>
      <c r="M95" s="23"/>
      <c r="N95" s="4"/>
      <c r="O95" s="23"/>
      <c r="P95" s="23"/>
      <c r="Q95" s="4"/>
      <c r="R95" s="4"/>
      <c r="S95" s="4"/>
    </row>
    <row r="96" spans="1:19" x14ac:dyDescent="0.25">
      <c r="A96" s="876"/>
      <c r="B96" s="4"/>
      <c r="C96" s="23"/>
      <c r="D96" s="23"/>
      <c r="E96" s="23"/>
      <c r="F96" s="23"/>
      <c r="G96" s="23"/>
      <c r="H96" s="23"/>
      <c r="I96" s="23"/>
      <c r="J96" s="23"/>
      <c r="K96" s="23"/>
      <c r="L96" s="23"/>
      <c r="M96" s="23"/>
      <c r="N96" s="4"/>
      <c r="O96" s="23"/>
      <c r="P96" s="23"/>
      <c r="Q96" s="4"/>
      <c r="R96" s="4"/>
      <c r="S96" s="4"/>
    </row>
    <row r="97" spans="1:19" x14ac:dyDescent="0.25">
      <c r="A97" s="876"/>
      <c r="B97" s="4"/>
      <c r="C97" s="23"/>
      <c r="D97" s="23"/>
      <c r="E97" s="23"/>
      <c r="F97" s="23"/>
      <c r="G97" s="23"/>
      <c r="H97" s="23"/>
      <c r="I97" s="23"/>
      <c r="J97" s="23"/>
      <c r="K97" s="23"/>
      <c r="L97" s="23"/>
      <c r="M97" s="23"/>
      <c r="N97" s="4"/>
      <c r="O97" s="23"/>
      <c r="P97" s="23"/>
      <c r="Q97" s="4"/>
      <c r="R97" s="4"/>
      <c r="S97" s="4"/>
    </row>
    <row r="98" spans="1:19" x14ac:dyDescent="0.25">
      <c r="A98" s="876"/>
      <c r="B98" s="4"/>
      <c r="C98" s="23"/>
      <c r="D98" s="23"/>
      <c r="E98" s="23"/>
      <c r="F98" s="23"/>
      <c r="G98" s="23"/>
      <c r="H98" s="23"/>
      <c r="I98" s="23"/>
      <c r="J98" s="23"/>
      <c r="K98" s="23"/>
      <c r="L98" s="23"/>
      <c r="M98" s="23"/>
      <c r="N98" s="4"/>
      <c r="O98" s="23"/>
      <c r="P98" s="23"/>
      <c r="Q98" s="4"/>
      <c r="R98" s="4"/>
      <c r="S98" s="4"/>
    </row>
    <row r="99" spans="1:19" x14ac:dyDescent="0.25">
      <c r="A99" s="876"/>
      <c r="B99" s="4"/>
      <c r="C99" s="23"/>
      <c r="D99" s="23"/>
      <c r="E99" s="23"/>
      <c r="F99" s="23"/>
      <c r="G99" s="23"/>
      <c r="H99" s="23"/>
      <c r="I99" s="23"/>
      <c r="J99" s="23"/>
      <c r="K99" s="23"/>
      <c r="L99" s="23"/>
      <c r="M99" s="23"/>
      <c r="N99" s="4"/>
      <c r="O99" s="23"/>
      <c r="P99" s="23"/>
      <c r="Q99" s="4"/>
      <c r="R99" s="4"/>
      <c r="S99" s="4"/>
    </row>
    <row r="100" spans="1:19" x14ac:dyDescent="0.25">
      <c r="A100" s="876"/>
      <c r="B100" s="4"/>
      <c r="C100" s="23"/>
      <c r="D100" s="23"/>
      <c r="E100" s="23"/>
      <c r="F100" s="23"/>
      <c r="G100" s="23"/>
      <c r="H100" s="23"/>
      <c r="I100" s="23"/>
      <c r="J100" s="23"/>
      <c r="K100" s="23"/>
      <c r="L100" s="23"/>
      <c r="M100" s="23"/>
      <c r="N100" s="4"/>
      <c r="O100" s="23"/>
      <c r="P100" s="23"/>
      <c r="Q100" s="4"/>
      <c r="R100" s="4"/>
      <c r="S100" s="4"/>
    </row>
    <row r="101" spans="1:19" x14ac:dyDescent="0.25">
      <c r="A101" s="876"/>
      <c r="B101" s="4"/>
      <c r="C101" s="23"/>
      <c r="D101" s="23"/>
      <c r="E101" s="23"/>
      <c r="F101" s="23"/>
      <c r="G101" s="23"/>
      <c r="H101" s="23"/>
      <c r="I101" s="23"/>
      <c r="J101" s="23"/>
      <c r="K101" s="23"/>
      <c r="L101" s="23"/>
      <c r="M101" s="23"/>
      <c r="N101" s="4"/>
      <c r="O101" s="23"/>
      <c r="P101" s="23"/>
      <c r="Q101" s="4"/>
      <c r="R101" s="4"/>
      <c r="S101" s="4"/>
    </row>
    <row r="102" spans="1:19" x14ac:dyDescent="0.25">
      <c r="A102" s="876"/>
      <c r="B102" s="4"/>
      <c r="C102" s="23"/>
      <c r="D102" s="23"/>
      <c r="E102" s="23"/>
      <c r="F102" s="23"/>
      <c r="G102" s="23"/>
      <c r="H102" s="23"/>
      <c r="I102" s="23"/>
      <c r="J102" s="23"/>
      <c r="K102" s="23"/>
      <c r="L102" s="23"/>
      <c r="M102" s="23"/>
      <c r="N102" s="4"/>
      <c r="O102" s="23"/>
      <c r="P102" s="23"/>
      <c r="Q102" s="4"/>
      <c r="R102" s="4"/>
      <c r="S102" s="4"/>
    </row>
    <row r="103" spans="1:19" x14ac:dyDescent="0.25">
      <c r="A103" s="876"/>
      <c r="B103" s="4"/>
      <c r="C103" s="23"/>
      <c r="D103" s="23"/>
      <c r="E103" s="23"/>
      <c r="F103" s="23"/>
      <c r="G103" s="23"/>
      <c r="H103" s="23"/>
      <c r="I103" s="23"/>
      <c r="J103" s="23"/>
      <c r="K103" s="23"/>
      <c r="L103" s="23"/>
      <c r="M103" s="23"/>
      <c r="N103" s="4"/>
      <c r="O103" s="23"/>
      <c r="P103" s="23"/>
      <c r="Q103" s="4"/>
      <c r="R103" s="4"/>
      <c r="S103" s="4"/>
    </row>
    <row r="104" spans="1:19" x14ac:dyDescent="0.25">
      <c r="A104" s="876"/>
      <c r="B104" s="4"/>
      <c r="C104" s="23"/>
      <c r="D104" s="23"/>
      <c r="E104" s="23"/>
      <c r="F104" s="23"/>
      <c r="G104" s="23"/>
      <c r="H104" s="23"/>
      <c r="I104" s="23"/>
      <c r="J104" s="23"/>
      <c r="K104" s="23"/>
      <c r="L104" s="23"/>
      <c r="M104" s="23"/>
      <c r="N104" s="4"/>
      <c r="O104" s="23"/>
      <c r="P104" s="23"/>
      <c r="Q104" s="4"/>
      <c r="R104" s="4"/>
      <c r="S104" s="4"/>
    </row>
    <row r="105" spans="1:19" x14ac:dyDescent="0.25">
      <c r="A105" s="876"/>
      <c r="B105" s="4"/>
      <c r="C105" s="23"/>
      <c r="D105" s="23"/>
      <c r="E105" s="23"/>
      <c r="F105" s="23"/>
      <c r="G105" s="23"/>
      <c r="H105" s="23"/>
      <c r="I105" s="23"/>
      <c r="J105" s="23"/>
      <c r="K105" s="23"/>
      <c r="L105" s="23"/>
      <c r="M105" s="23"/>
      <c r="N105" s="4"/>
      <c r="O105" s="23"/>
      <c r="P105" s="23"/>
      <c r="Q105" s="4"/>
      <c r="R105" s="4"/>
      <c r="S105" s="4"/>
    </row>
    <row r="106" spans="1:19" x14ac:dyDescent="0.25">
      <c r="A106" s="876"/>
      <c r="B106" s="4"/>
      <c r="C106" s="23"/>
      <c r="D106" s="23"/>
      <c r="E106" s="23"/>
      <c r="F106" s="23"/>
      <c r="G106" s="23"/>
      <c r="H106" s="23"/>
      <c r="I106" s="23"/>
      <c r="J106" s="23"/>
      <c r="K106" s="23"/>
      <c r="L106" s="23"/>
      <c r="M106" s="23"/>
      <c r="N106" s="4"/>
      <c r="O106" s="23"/>
      <c r="P106" s="23"/>
      <c r="Q106" s="4"/>
      <c r="R106" s="4"/>
      <c r="S106" s="4"/>
    </row>
    <row r="107" spans="1:19" x14ac:dyDescent="0.25">
      <c r="A107" s="876"/>
      <c r="B107" s="4"/>
      <c r="C107" s="23"/>
      <c r="D107" s="23"/>
      <c r="E107" s="23"/>
      <c r="F107" s="23"/>
      <c r="G107" s="23"/>
      <c r="H107" s="23"/>
      <c r="I107" s="23"/>
      <c r="J107" s="23"/>
      <c r="K107" s="23"/>
      <c r="L107" s="23"/>
      <c r="M107" s="23"/>
      <c r="N107" s="4"/>
      <c r="O107" s="23"/>
      <c r="P107" s="23"/>
      <c r="Q107" s="4"/>
      <c r="R107" s="4"/>
      <c r="S107" s="4"/>
    </row>
    <row r="108" spans="1:19" x14ac:dyDescent="0.25">
      <c r="A108" s="876"/>
      <c r="B108" s="4"/>
      <c r="C108" s="23"/>
      <c r="D108" s="23"/>
      <c r="E108" s="23"/>
      <c r="F108" s="23"/>
      <c r="G108" s="23"/>
      <c r="H108" s="23"/>
      <c r="I108" s="23"/>
      <c r="J108" s="23"/>
      <c r="K108" s="23"/>
      <c r="L108" s="23"/>
      <c r="M108" s="23"/>
      <c r="N108" s="4"/>
      <c r="O108" s="23"/>
      <c r="P108" s="23"/>
      <c r="Q108" s="4"/>
      <c r="R108" s="4"/>
      <c r="S108" s="4"/>
    </row>
    <row r="109" spans="1:19" x14ac:dyDescent="0.25">
      <c r="A109" s="876"/>
      <c r="B109" s="4"/>
      <c r="C109" s="23"/>
      <c r="D109" s="23"/>
      <c r="E109" s="23"/>
      <c r="F109" s="23"/>
      <c r="G109" s="23"/>
      <c r="H109" s="23"/>
      <c r="I109" s="23"/>
      <c r="J109" s="23"/>
      <c r="K109" s="23"/>
      <c r="L109" s="23"/>
      <c r="M109" s="23"/>
      <c r="N109" s="4"/>
      <c r="O109" s="23"/>
      <c r="P109" s="23"/>
      <c r="Q109" s="4"/>
      <c r="R109" s="4"/>
      <c r="S109" s="4"/>
    </row>
    <row r="110" spans="1:19" x14ac:dyDescent="0.25">
      <c r="A110" s="876"/>
      <c r="B110" s="4"/>
      <c r="C110" s="23"/>
      <c r="D110" s="23"/>
      <c r="E110" s="23"/>
      <c r="F110" s="23"/>
      <c r="G110" s="23"/>
      <c r="H110" s="23"/>
      <c r="I110" s="23"/>
      <c r="J110" s="23"/>
      <c r="K110" s="23"/>
      <c r="L110" s="23"/>
      <c r="M110" s="23"/>
      <c r="N110" s="4"/>
      <c r="O110" s="23"/>
      <c r="P110" s="23"/>
      <c r="Q110" s="4"/>
      <c r="R110" s="4"/>
      <c r="S110" s="4"/>
    </row>
    <row r="111" spans="1:19" x14ac:dyDescent="0.25">
      <c r="A111" s="876"/>
      <c r="B111" s="4"/>
      <c r="C111" s="23"/>
      <c r="D111" s="23"/>
      <c r="E111" s="23"/>
      <c r="F111" s="23"/>
      <c r="G111" s="23"/>
      <c r="H111" s="23"/>
      <c r="I111" s="23"/>
      <c r="J111" s="23"/>
      <c r="K111" s="23"/>
      <c r="L111" s="23"/>
      <c r="M111" s="23"/>
      <c r="N111" s="4"/>
      <c r="O111" s="23"/>
      <c r="P111" s="23"/>
      <c r="Q111" s="4"/>
      <c r="R111" s="4"/>
      <c r="S111" s="4"/>
    </row>
    <row r="112" spans="1:19" x14ac:dyDescent="0.25">
      <c r="A112" s="876"/>
      <c r="B112" s="4"/>
      <c r="C112" s="23"/>
      <c r="D112" s="23"/>
      <c r="E112" s="23"/>
      <c r="F112" s="23"/>
      <c r="G112" s="23"/>
      <c r="H112" s="23"/>
      <c r="I112" s="23"/>
      <c r="J112" s="23"/>
      <c r="K112" s="23"/>
      <c r="L112" s="23"/>
      <c r="M112" s="23"/>
      <c r="N112" s="4"/>
      <c r="O112" s="23"/>
      <c r="P112" s="23"/>
      <c r="Q112" s="4"/>
      <c r="R112" s="4"/>
      <c r="S112" s="4"/>
    </row>
    <row r="113" spans="1:19" x14ac:dyDescent="0.25">
      <c r="A113" s="876"/>
      <c r="B113" s="4"/>
      <c r="C113" s="23"/>
      <c r="D113" s="23"/>
      <c r="E113" s="23"/>
      <c r="F113" s="23"/>
      <c r="G113" s="23"/>
      <c r="H113" s="23"/>
      <c r="I113" s="23"/>
      <c r="J113" s="23"/>
      <c r="K113" s="23"/>
      <c r="L113" s="23"/>
      <c r="M113" s="23"/>
      <c r="N113" s="4"/>
      <c r="O113" s="23"/>
      <c r="P113" s="23"/>
      <c r="Q113" s="4"/>
      <c r="R113" s="4"/>
      <c r="S113" s="4"/>
    </row>
    <row r="114" spans="1:19" x14ac:dyDescent="0.25">
      <c r="A114" s="876"/>
      <c r="B114" s="4"/>
      <c r="C114" s="23"/>
      <c r="D114" s="23"/>
      <c r="E114" s="23"/>
      <c r="F114" s="23"/>
      <c r="G114" s="23"/>
      <c r="H114" s="23"/>
      <c r="I114" s="23"/>
      <c r="J114" s="23"/>
      <c r="K114" s="23"/>
      <c r="L114" s="23"/>
      <c r="M114" s="23"/>
      <c r="N114" s="4"/>
      <c r="O114" s="23"/>
      <c r="P114" s="23"/>
      <c r="Q114" s="4"/>
      <c r="R114" s="4"/>
      <c r="S114" s="4"/>
    </row>
    <row r="115" spans="1:19" x14ac:dyDescent="0.25">
      <c r="A115" s="876"/>
      <c r="B115" s="4"/>
      <c r="C115" s="23"/>
      <c r="D115" s="23"/>
      <c r="E115" s="23"/>
      <c r="F115" s="23"/>
      <c r="G115" s="23"/>
      <c r="H115" s="23"/>
      <c r="I115" s="23"/>
      <c r="J115" s="23"/>
      <c r="K115" s="23"/>
      <c r="L115" s="23"/>
      <c r="M115" s="23"/>
      <c r="N115" s="4"/>
      <c r="O115" s="23"/>
      <c r="P115" s="23"/>
      <c r="Q115" s="4"/>
      <c r="R115" s="4"/>
      <c r="S115" s="4"/>
    </row>
    <row r="116" spans="1:19" x14ac:dyDescent="0.25">
      <c r="A116" s="876"/>
      <c r="B116" s="4"/>
      <c r="C116" s="23"/>
      <c r="D116" s="23"/>
      <c r="E116" s="23"/>
      <c r="F116" s="23"/>
      <c r="G116" s="23"/>
      <c r="H116" s="23"/>
      <c r="I116" s="23"/>
      <c r="J116" s="23"/>
      <c r="K116" s="23"/>
      <c r="L116" s="23"/>
      <c r="M116" s="23"/>
      <c r="N116" s="4"/>
      <c r="O116" s="23"/>
      <c r="P116" s="23"/>
      <c r="Q116" s="4"/>
      <c r="R116" s="4"/>
      <c r="S116" s="4"/>
    </row>
    <row r="117" spans="1:19" x14ac:dyDescent="0.25">
      <c r="A117" s="876"/>
      <c r="B117" s="4"/>
      <c r="C117" s="23"/>
      <c r="D117" s="23"/>
      <c r="E117" s="23"/>
      <c r="F117" s="23"/>
      <c r="G117" s="23"/>
      <c r="H117" s="23"/>
      <c r="I117" s="23"/>
      <c r="J117" s="23"/>
      <c r="K117" s="23"/>
      <c r="L117" s="23"/>
      <c r="M117" s="23"/>
      <c r="N117" s="4"/>
      <c r="O117" s="23"/>
      <c r="P117" s="23"/>
      <c r="Q117" s="4"/>
      <c r="R117" s="4"/>
      <c r="S117" s="4"/>
    </row>
    <row r="118" spans="1:19" x14ac:dyDescent="0.25">
      <c r="A118" s="876"/>
      <c r="B118" s="4"/>
      <c r="C118" s="23"/>
      <c r="D118" s="23"/>
      <c r="E118" s="23"/>
      <c r="F118" s="23"/>
      <c r="G118" s="23"/>
      <c r="H118" s="23"/>
      <c r="I118" s="23"/>
      <c r="J118" s="23"/>
      <c r="K118" s="23"/>
      <c r="L118" s="23"/>
      <c r="M118" s="23"/>
      <c r="N118" s="4"/>
      <c r="O118" s="23"/>
      <c r="P118" s="23"/>
      <c r="Q118" s="4"/>
      <c r="R118" s="4"/>
      <c r="S118" s="4"/>
    </row>
    <row r="119" spans="1:19" x14ac:dyDescent="0.25">
      <c r="A119" s="876"/>
      <c r="B119" s="4"/>
      <c r="C119" s="23"/>
      <c r="D119" s="23"/>
      <c r="E119" s="23"/>
      <c r="F119" s="23"/>
      <c r="G119" s="23"/>
      <c r="H119" s="23"/>
      <c r="I119" s="23"/>
      <c r="J119" s="23"/>
      <c r="K119" s="23"/>
      <c r="L119" s="23"/>
      <c r="M119" s="23"/>
      <c r="N119" s="4"/>
      <c r="O119" s="23"/>
      <c r="P119" s="23"/>
      <c r="Q119" s="4"/>
      <c r="R119" s="4"/>
      <c r="S119" s="4"/>
    </row>
    <row r="120" spans="1:19" x14ac:dyDescent="0.25">
      <c r="A120" s="876"/>
      <c r="B120" s="4"/>
      <c r="C120" s="23"/>
      <c r="D120" s="23"/>
      <c r="E120" s="23"/>
      <c r="F120" s="23"/>
      <c r="G120" s="23"/>
      <c r="H120" s="23"/>
      <c r="I120" s="23"/>
      <c r="J120" s="23"/>
      <c r="K120" s="23"/>
      <c r="L120" s="23"/>
      <c r="M120" s="23"/>
      <c r="N120" s="4"/>
      <c r="O120" s="23"/>
      <c r="P120" s="23"/>
      <c r="Q120" s="4"/>
      <c r="R120" s="4"/>
      <c r="S120" s="4"/>
    </row>
    <row r="121" spans="1:19" x14ac:dyDescent="0.25">
      <c r="A121" s="876"/>
      <c r="B121" s="4"/>
      <c r="C121" s="23"/>
      <c r="D121" s="23"/>
      <c r="E121" s="23"/>
      <c r="F121" s="23"/>
      <c r="G121" s="23"/>
      <c r="H121" s="23"/>
      <c r="I121" s="23"/>
      <c r="J121" s="23"/>
      <c r="K121" s="23"/>
      <c r="L121" s="23"/>
      <c r="M121" s="23"/>
      <c r="N121" s="4"/>
      <c r="O121" s="23"/>
      <c r="P121" s="23"/>
      <c r="Q121" s="4"/>
      <c r="R121" s="4"/>
      <c r="S121" s="4"/>
    </row>
    <row r="122" spans="1:19" x14ac:dyDescent="0.25">
      <c r="A122" s="876"/>
      <c r="B122" s="4"/>
      <c r="C122" s="23"/>
      <c r="D122" s="23"/>
      <c r="E122" s="23"/>
      <c r="F122" s="23"/>
      <c r="G122" s="23"/>
      <c r="H122" s="23"/>
      <c r="I122" s="23"/>
      <c r="J122" s="23"/>
      <c r="K122" s="23"/>
      <c r="L122" s="23"/>
      <c r="M122" s="23"/>
      <c r="N122" s="4"/>
      <c r="O122" s="23"/>
      <c r="P122" s="23"/>
      <c r="Q122" s="4"/>
      <c r="R122" s="4"/>
      <c r="S122" s="4"/>
    </row>
    <row r="123" spans="1:19" x14ac:dyDescent="0.25">
      <c r="A123" s="876"/>
      <c r="B123" s="4"/>
      <c r="C123" s="23"/>
      <c r="D123" s="23"/>
      <c r="E123" s="23"/>
      <c r="F123" s="23"/>
      <c r="G123" s="23"/>
      <c r="H123" s="23"/>
      <c r="I123" s="23"/>
      <c r="J123" s="23"/>
      <c r="K123" s="23"/>
      <c r="L123" s="23"/>
      <c r="M123" s="23"/>
      <c r="N123" s="4"/>
      <c r="O123" s="23"/>
      <c r="P123" s="23"/>
      <c r="Q123" s="4"/>
      <c r="R123" s="4"/>
      <c r="S123" s="4"/>
    </row>
    <row r="124" spans="1:19" x14ac:dyDescent="0.25">
      <c r="A124" s="876"/>
      <c r="B124" s="4"/>
      <c r="C124" s="23"/>
      <c r="D124" s="23"/>
      <c r="E124" s="23"/>
      <c r="F124" s="23"/>
      <c r="G124" s="23"/>
      <c r="H124" s="23"/>
      <c r="I124" s="23"/>
      <c r="J124" s="23"/>
      <c r="K124" s="23"/>
      <c r="L124" s="23"/>
      <c r="M124" s="23"/>
      <c r="N124" s="4"/>
      <c r="O124" s="23"/>
      <c r="P124" s="23"/>
      <c r="Q124" s="4"/>
      <c r="R124" s="4"/>
      <c r="S124" s="4"/>
    </row>
    <row r="125" spans="1:19" x14ac:dyDescent="0.25">
      <c r="A125" s="876"/>
      <c r="B125" s="4"/>
      <c r="C125" s="23"/>
      <c r="D125" s="23"/>
      <c r="E125" s="23"/>
      <c r="F125" s="23"/>
      <c r="G125" s="23"/>
      <c r="H125" s="23"/>
      <c r="I125" s="23"/>
      <c r="J125" s="23"/>
      <c r="K125" s="23"/>
      <c r="L125" s="23"/>
      <c r="M125" s="23"/>
      <c r="N125" s="4"/>
      <c r="O125" s="23"/>
      <c r="P125" s="23"/>
      <c r="Q125" s="4"/>
      <c r="R125" s="4"/>
      <c r="S125" s="4"/>
    </row>
    <row r="126" spans="1:19" x14ac:dyDescent="0.25">
      <c r="A126" s="876"/>
      <c r="B126" s="4"/>
      <c r="C126" s="23"/>
      <c r="D126" s="23"/>
      <c r="E126" s="23"/>
      <c r="F126" s="23"/>
      <c r="G126" s="23"/>
      <c r="H126" s="23"/>
      <c r="I126" s="23"/>
      <c r="J126" s="23"/>
      <c r="K126" s="23"/>
      <c r="L126" s="23"/>
      <c r="M126" s="23"/>
      <c r="N126" s="4"/>
      <c r="O126" s="23"/>
      <c r="P126" s="23"/>
      <c r="Q126" s="4"/>
      <c r="R126" s="4"/>
      <c r="S126" s="4"/>
    </row>
    <row r="127" spans="1:19" x14ac:dyDescent="0.25">
      <c r="A127" s="876"/>
      <c r="B127" s="4"/>
      <c r="C127" s="23"/>
      <c r="D127" s="23"/>
      <c r="E127" s="23"/>
      <c r="F127" s="23"/>
      <c r="G127" s="23"/>
      <c r="H127" s="23"/>
      <c r="I127" s="23"/>
      <c r="J127" s="23"/>
      <c r="K127" s="23"/>
      <c r="L127" s="23"/>
      <c r="M127" s="23"/>
      <c r="N127" s="4"/>
      <c r="O127" s="23"/>
      <c r="P127" s="23"/>
      <c r="Q127" s="4"/>
      <c r="R127" s="4"/>
      <c r="S127" s="4"/>
    </row>
    <row r="128" spans="1:19" x14ac:dyDescent="0.25">
      <c r="A128" s="876"/>
      <c r="B128" s="4"/>
      <c r="C128" s="23"/>
      <c r="D128" s="23"/>
      <c r="E128" s="23"/>
      <c r="F128" s="23"/>
      <c r="G128" s="23"/>
      <c r="H128" s="23"/>
      <c r="I128" s="23"/>
      <c r="J128" s="23"/>
      <c r="K128" s="23"/>
      <c r="L128" s="23"/>
      <c r="M128" s="23"/>
      <c r="N128" s="4"/>
      <c r="O128" s="23"/>
      <c r="P128" s="23"/>
      <c r="Q128" s="4"/>
      <c r="R128" s="4"/>
      <c r="S128" s="4"/>
    </row>
    <row r="129" spans="1:19" x14ac:dyDescent="0.25">
      <c r="A129" s="876"/>
      <c r="B129" s="4"/>
      <c r="C129" s="23"/>
      <c r="D129" s="23"/>
      <c r="E129" s="23"/>
      <c r="F129" s="23"/>
      <c r="G129" s="23"/>
      <c r="H129" s="23"/>
      <c r="I129" s="23"/>
      <c r="J129" s="23"/>
      <c r="K129" s="23"/>
      <c r="L129" s="23"/>
      <c r="M129" s="23"/>
      <c r="N129" s="4"/>
      <c r="O129" s="23"/>
      <c r="P129" s="23"/>
      <c r="Q129" s="4"/>
      <c r="R129" s="4"/>
      <c r="S129" s="4"/>
    </row>
    <row r="130" spans="1:19" x14ac:dyDescent="0.25">
      <c r="A130" s="876"/>
      <c r="B130" s="4"/>
      <c r="C130" s="23"/>
      <c r="D130" s="23"/>
      <c r="E130" s="23"/>
      <c r="F130" s="23"/>
      <c r="G130" s="23"/>
      <c r="H130" s="23"/>
      <c r="I130" s="23"/>
      <c r="J130" s="23"/>
      <c r="K130" s="23"/>
      <c r="L130" s="23"/>
      <c r="M130" s="23"/>
      <c r="N130" s="4"/>
      <c r="O130" s="23"/>
      <c r="P130" s="23"/>
      <c r="Q130" s="4"/>
      <c r="R130" s="4"/>
      <c r="S130" s="4"/>
    </row>
    <row r="131" spans="1:19" x14ac:dyDescent="0.25">
      <c r="A131" s="876"/>
      <c r="B131" s="4"/>
      <c r="C131" s="23"/>
      <c r="D131" s="23"/>
      <c r="E131" s="23"/>
      <c r="F131" s="23"/>
      <c r="G131" s="23"/>
      <c r="H131" s="23"/>
      <c r="I131" s="23"/>
      <c r="J131" s="23"/>
      <c r="K131" s="23"/>
      <c r="L131" s="23"/>
      <c r="M131" s="23"/>
      <c r="N131" s="4"/>
      <c r="O131" s="23"/>
      <c r="P131" s="23"/>
      <c r="Q131" s="4"/>
      <c r="R131" s="4"/>
      <c r="S131" s="4"/>
    </row>
    <row r="132" spans="1:19" x14ac:dyDescent="0.25">
      <c r="A132" s="876"/>
      <c r="B132" s="4"/>
      <c r="C132" s="23"/>
      <c r="D132" s="23"/>
      <c r="E132" s="23"/>
      <c r="F132" s="23"/>
      <c r="G132" s="23"/>
      <c r="H132" s="23"/>
      <c r="I132" s="23"/>
      <c r="J132" s="23"/>
      <c r="K132" s="23"/>
      <c r="L132" s="23"/>
      <c r="M132" s="23"/>
      <c r="N132" s="4"/>
      <c r="O132" s="23"/>
      <c r="P132" s="23"/>
      <c r="Q132" s="4"/>
      <c r="R132" s="4"/>
      <c r="S132" s="4"/>
    </row>
    <row r="133" spans="1:19" x14ac:dyDescent="0.25">
      <c r="A133" s="876"/>
      <c r="B133" s="4"/>
      <c r="C133" s="23"/>
      <c r="D133" s="23"/>
      <c r="E133" s="23"/>
      <c r="F133" s="23"/>
      <c r="G133" s="23"/>
      <c r="H133" s="23"/>
      <c r="I133" s="23"/>
      <c r="J133" s="23"/>
      <c r="K133" s="23"/>
      <c r="L133" s="23"/>
      <c r="M133" s="23"/>
      <c r="N133" s="4"/>
      <c r="O133" s="23"/>
      <c r="P133" s="23"/>
      <c r="Q133" s="4"/>
      <c r="R133" s="4"/>
      <c r="S133" s="4"/>
    </row>
    <row r="134" spans="1:19" x14ac:dyDescent="0.25">
      <c r="A134" s="876"/>
      <c r="B134" s="4"/>
      <c r="C134" s="23"/>
      <c r="D134" s="23"/>
      <c r="E134" s="23"/>
      <c r="F134" s="23"/>
      <c r="G134" s="23"/>
      <c r="H134" s="23"/>
      <c r="I134" s="23"/>
      <c r="J134" s="23"/>
      <c r="K134" s="23"/>
      <c r="L134" s="23"/>
      <c r="M134" s="23"/>
      <c r="N134" s="4"/>
      <c r="O134" s="23"/>
      <c r="P134" s="23"/>
      <c r="Q134" s="4"/>
      <c r="R134" s="4"/>
      <c r="S134" s="4"/>
    </row>
    <row r="135" spans="1:19" x14ac:dyDescent="0.25">
      <c r="A135" s="876"/>
      <c r="B135" s="4"/>
      <c r="C135" s="23"/>
      <c r="D135" s="23"/>
      <c r="E135" s="23"/>
      <c r="F135" s="23"/>
      <c r="G135" s="23"/>
      <c r="H135" s="23"/>
      <c r="I135" s="23"/>
      <c r="J135" s="23"/>
      <c r="K135" s="23"/>
      <c r="L135" s="23"/>
      <c r="M135" s="23"/>
      <c r="N135" s="4"/>
      <c r="O135" s="23"/>
      <c r="P135" s="23"/>
      <c r="Q135" s="4"/>
      <c r="R135" s="4"/>
      <c r="S135" s="4"/>
    </row>
    <row r="136" spans="1:19" x14ac:dyDescent="0.25">
      <c r="C136" s="114"/>
    </row>
    <row r="137" spans="1:19" x14ac:dyDescent="0.25">
      <c r="C137" s="114"/>
    </row>
    <row r="138" spans="1:19" x14ac:dyDescent="0.25">
      <c r="C138" s="114"/>
    </row>
    <row r="139" spans="1:19" x14ac:dyDescent="0.25">
      <c r="C139" s="114"/>
    </row>
    <row r="140" spans="1:19" x14ac:dyDescent="0.25">
      <c r="C140" s="114"/>
    </row>
    <row r="141" spans="1:19" x14ac:dyDescent="0.25">
      <c r="C141" s="114"/>
    </row>
    <row r="142" spans="1:19" x14ac:dyDescent="0.25">
      <c r="C142" s="114"/>
    </row>
    <row r="143" spans="1:19" x14ac:dyDescent="0.25">
      <c r="C143" s="114"/>
    </row>
    <row r="144" spans="1:19" x14ac:dyDescent="0.25">
      <c r="C144" s="114"/>
    </row>
    <row r="145" spans="3:3" x14ac:dyDescent="0.25">
      <c r="C145" s="114"/>
    </row>
    <row r="146" spans="3:3" x14ac:dyDescent="0.25">
      <c r="C146" s="114"/>
    </row>
    <row r="147" spans="3:3" x14ac:dyDescent="0.25">
      <c r="C147" s="114"/>
    </row>
    <row r="148" spans="3:3" x14ac:dyDescent="0.25">
      <c r="C148" s="114"/>
    </row>
    <row r="149" spans="3:3" x14ac:dyDescent="0.25">
      <c r="C149" s="114"/>
    </row>
    <row r="150" spans="3:3" x14ac:dyDescent="0.25">
      <c r="C150" s="114"/>
    </row>
    <row r="151" spans="3:3" x14ac:dyDescent="0.25">
      <c r="C151" s="114"/>
    </row>
    <row r="152" spans="3:3" x14ac:dyDescent="0.25">
      <c r="C152" s="114"/>
    </row>
    <row r="153" spans="3:3" x14ac:dyDescent="0.25">
      <c r="C153" s="114"/>
    </row>
    <row r="154" spans="3:3" x14ac:dyDescent="0.25">
      <c r="C154" s="114"/>
    </row>
    <row r="155" spans="3:3" x14ac:dyDescent="0.25">
      <c r="C155" s="114"/>
    </row>
    <row r="156" spans="3:3" x14ac:dyDescent="0.25">
      <c r="C156" s="114"/>
    </row>
    <row r="157" spans="3:3" x14ac:dyDescent="0.25">
      <c r="C157" s="114"/>
    </row>
    <row r="158" spans="3:3" x14ac:dyDescent="0.25">
      <c r="C158" s="114"/>
    </row>
    <row r="159" spans="3:3" x14ac:dyDescent="0.25">
      <c r="C159" s="114"/>
    </row>
    <row r="160" spans="3:3" x14ac:dyDescent="0.25">
      <c r="C160" s="114"/>
    </row>
    <row r="161" spans="3:3" x14ac:dyDescent="0.25">
      <c r="C161" s="114"/>
    </row>
    <row r="162" spans="3:3" x14ac:dyDescent="0.25">
      <c r="C162" s="114"/>
    </row>
    <row r="163" spans="3:3" x14ac:dyDescent="0.25">
      <c r="C163" s="114"/>
    </row>
    <row r="164" spans="3:3" x14ac:dyDescent="0.25">
      <c r="C164" s="114"/>
    </row>
    <row r="165" spans="3:3" x14ac:dyDescent="0.25">
      <c r="C165" s="114"/>
    </row>
    <row r="166" spans="3:3" x14ac:dyDescent="0.25">
      <c r="C166" s="114"/>
    </row>
    <row r="167" spans="3:3" x14ac:dyDescent="0.25">
      <c r="C167" s="114"/>
    </row>
    <row r="168" spans="3:3" x14ac:dyDescent="0.25">
      <c r="C168" s="114"/>
    </row>
    <row r="169" spans="3:3" x14ac:dyDescent="0.25">
      <c r="C169" s="114"/>
    </row>
    <row r="170" spans="3:3" x14ac:dyDescent="0.25">
      <c r="C170" s="114"/>
    </row>
    <row r="171" spans="3:3" x14ac:dyDescent="0.25">
      <c r="C171" s="114"/>
    </row>
    <row r="172" spans="3:3" x14ac:dyDescent="0.25">
      <c r="C172" s="114"/>
    </row>
    <row r="173" spans="3:3" x14ac:dyDescent="0.25">
      <c r="C173" s="114"/>
    </row>
    <row r="174" spans="3:3" x14ac:dyDescent="0.25">
      <c r="C174" s="114"/>
    </row>
    <row r="175" spans="3:3" x14ac:dyDescent="0.25">
      <c r="C175" s="114"/>
    </row>
    <row r="176" spans="3:3" x14ac:dyDescent="0.25">
      <c r="C176" s="114"/>
    </row>
    <row r="177" spans="3:3" x14ac:dyDescent="0.25">
      <c r="C177" s="114"/>
    </row>
  </sheetData>
  <phoneticPr fontId="0" type="noConversion"/>
  <hyperlinks>
    <hyperlink ref="A1" location="'Working Budget with funding det'!A1" display="Main " xr:uid="{00000000-0004-0000-3300-000000000000}"/>
    <hyperlink ref="B1" location="'Table of Contents'!A1" display="TOC" xr:uid="{00000000-0004-0000-3300-000001000000}"/>
  </hyperlinks>
  <pageMargins left="0.75" right="0.75" top="1" bottom="1" header="0.5" footer="0.5"/>
  <pageSetup scale="93" fitToHeight="2" orientation="landscape" horizontalDpi="300" verticalDpi="300" r:id="rId1"/>
  <headerFooter alignWithMargins="0">
    <oddFooter>&amp;L&amp;D     &amp;T&amp;C&amp;F&amp;R&amp;A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N175"/>
  <sheetViews>
    <sheetView topLeftCell="A6" zoomScale="75" zoomScaleNormal="75" workbookViewId="0">
      <selection activeCell="M33" sqref="M33"/>
    </sheetView>
  </sheetViews>
  <sheetFormatPr defaultRowHeight="15" x14ac:dyDescent="0.25"/>
  <cols>
    <col min="1" max="1" width="15.21875" style="596" customWidth="1"/>
    <col min="2" max="2" width="25.44140625" style="596" customWidth="1"/>
    <col min="3" max="3" width="21.6640625" style="596" customWidth="1"/>
    <col min="4" max="4" width="17.44140625" style="596" customWidth="1"/>
    <col min="5" max="5" width="14.44140625" style="596" customWidth="1"/>
    <col min="6" max="7" width="8.77734375" style="596"/>
    <col min="8" max="8" width="13.44140625" style="596" customWidth="1"/>
    <col min="9" max="9" width="6.44140625" style="596" customWidth="1"/>
    <col min="10" max="10" width="15.77734375" style="4" customWidth="1"/>
    <col min="11" max="11" width="13.109375" style="876" bestFit="1" customWidth="1"/>
    <col min="12" max="12" width="8.77734375" style="4"/>
    <col min="13" max="13" width="10.44140625" style="4" bestFit="1" customWidth="1"/>
  </cols>
  <sheetData>
    <row r="1" spans="1:8" ht="15.6" x14ac:dyDescent="0.3">
      <c r="A1" s="607" t="s">
        <v>1592</v>
      </c>
      <c r="C1" s="608"/>
      <c r="D1" s="817" t="s">
        <v>1348</v>
      </c>
      <c r="E1" s="609"/>
    </row>
    <row r="2" spans="1:8" x14ac:dyDescent="0.25">
      <c r="A2" s="610" t="s">
        <v>1593</v>
      </c>
      <c r="B2" s="611"/>
      <c r="C2" s="612"/>
      <c r="D2" s="611"/>
      <c r="E2" s="611"/>
      <c r="F2" s="611"/>
      <c r="G2" s="611"/>
      <c r="H2" s="613"/>
    </row>
    <row r="3" spans="1:8" x14ac:dyDescent="0.25">
      <c r="A3" s="614"/>
      <c r="B3" s="615" t="s">
        <v>1213</v>
      </c>
      <c r="C3" s="616"/>
      <c r="D3" s="615"/>
      <c r="E3" s="615"/>
      <c r="F3" s="615"/>
      <c r="G3" s="615"/>
      <c r="H3" s="617"/>
    </row>
    <row r="4" spans="1:8" x14ac:dyDescent="0.25">
      <c r="A4" s="614"/>
      <c r="B4" s="615"/>
      <c r="C4" s="616"/>
      <c r="D4" s="615"/>
      <c r="E4" s="615"/>
      <c r="F4" s="615"/>
      <c r="G4" s="615"/>
      <c r="H4" s="617"/>
    </row>
    <row r="5" spans="1:8" x14ac:dyDescent="0.25">
      <c r="A5" s="614"/>
      <c r="B5" s="615" t="s">
        <v>815</v>
      </c>
      <c r="C5" s="616"/>
      <c r="D5" s="615" t="s">
        <v>550</v>
      </c>
      <c r="E5" s="615"/>
      <c r="F5" s="615"/>
      <c r="G5" s="615"/>
      <c r="H5" s="617"/>
    </row>
    <row r="6" spans="1:8" x14ac:dyDescent="0.25">
      <c r="A6" s="614"/>
      <c r="B6" s="615" t="s">
        <v>814</v>
      </c>
      <c r="C6" s="372">
        <v>19701826.75</v>
      </c>
      <c r="D6" s="615" t="s">
        <v>831</v>
      </c>
      <c r="E6" s="615"/>
      <c r="F6" s="615"/>
      <c r="G6" s="615"/>
      <c r="H6" s="617"/>
    </row>
    <row r="7" spans="1:8" x14ac:dyDescent="0.25">
      <c r="A7" s="614"/>
      <c r="B7" s="615" t="s">
        <v>813</v>
      </c>
      <c r="C7" s="372">
        <v>146208.04999999999</v>
      </c>
      <c r="D7" s="615" t="s">
        <v>830</v>
      </c>
      <c r="E7" s="615"/>
      <c r="F7" s="615"/>
      <c r="G7" s="615"/>
      <c r="H7" s="617"/>
    </row>
    <row r="8" spans="1:8" x14ac:dyDescent="0.25">
      <c r="A8" s="614"/>
      <c r="B8" s="615" t="s">
        <v>812</v>
      </c>
      <c r="C8" s="618">
        <v>-1165193</v>
      </c>
      <c r="D8" s="615" t="s">
        <v>829</v>
      </c>
      <c r="E8" s="615"/>
      <c r="F8" s="615"/>
      <c r="G8" s="615"/>
      <c r="H8" s="617"/>
    </row>
    <row r="9" spans="1:8" x14ac:dyDescent="0.25">
      <c r="A9" s="614" t="s">
        <v>811</v>
      </c>
      <c r="B9" s="615" t="s">
        <v>810</v>
      </c>
      <c r="C9" s="616">
        <f>SUM(C6:C8)</f>
        <v>18682841.800000001</v>
      </c>
      <c r="D9" s="615"/>
      <c r="E9" s="615"/>
      <c r="F9" s="615"/>
      <c r="G9" s="615"/>
      <c r="H9" s="617"/>
    </row>
    <row r="10" spans="1:8" x14ac:dyDescent="0.25">
      <c r="A10" s="614"/>
      <c r="B10" s="615"/>
      <c r="C10" s="616"/>
      <c r="D10" s="615"/>
      <c r="E10" s="615"/>
      <c r="F10" s="615"/>
      <c r="G10" s="615"/>
      <c r="H10" s="617"/>
    </row>
    <row r="11" spans="1:8" x14ac:dyDescent="0.25">
      <c r="A11" s="614"/>
      <c r="B11" s="615" t="s">
        <v>828</v>
      </c>
      <c r="C11" s="616"/>
      <c r="D11" s="615"/>
      <c r="E11" s="615"/>
      <c r="F11" s="615"/>
      <c r="G11" s="615"/>
      <c r="H11" s="617"/>
    </row>
    <row r="12" spans="1:8" x14ac:dyDescent="0.25">
      <c r="A12" s="614"/>
      <c r="B12" s="615" t="s">
        <v>809</v>
      </c>
      <c r="C12" s="372">
        <v>23566811.149999999</v>
      </c>
      <c r="D12" s="615" t="s">
        <v>805</v>
      </c>
      <c r="E12" s="615"/>
      <c r="F12" s="615"/>
      <c r="G12" s="615"/>
      <c r="H12" s="617"/>
    </row>
    <row r="13" spans="1:8" x14ac:dyDescent="0.25">
      <c r="A13" s="614"/>
      <c r="B13" s="615" t="s">
        <v>808</v>
      </c>
      <c r="C13" s="372">
        <v>-50846.68</v>
      </c>
      <c r="D13" s="615" t="s">
        <v>805</v>
      </c>
      <c r="E13" s="615"/>
      <c r="F13" s="615"/>
      <c r="G13" s="615"/>
      <c r="H13" s="617"/>
    </row>
    <row r="14" spans="1:8" x14ac:dyDescent="0.25">
      <c r="A14" s="614"/>
      <c r="B14" s="615" t="s">
        <v>807</v>
      </c>
      <c r="C14" s="372">
        <v>-2668533.44</v>
      </c>
      <c r="D14" s="615" t="s">
        <v>805</v>
      </c>
      <c r="E14" s="615"/>
      <c r="F14" s="615"/>
      <c r="G14" s="615"/>
      <c r="H14" s="617"/>
    </row>
    <row r="15" spans="1:8" x14ac:dyDescent="0.25">
      <c r="A15" s="614"/>
      <c r="B15" s="615" t="s">
        <v>806</v>
      </c>
      <c r="C15" s="372">
        <v>-16999710.850000001</v>
      </c>
      <c r="D15" s="615" t="s">
        <v>805</v>
      </c>
      <c r="E15" s="615"/>
      <c r="F15" s="615"/>
      <c r="G15" s="615"/>
      <c r="H15" s="617"/>
    </row>
    <row r="16" spans="1:8" x14ac:dyDescent="0.25">
      <c r="A16" s="614"/>
      <c r="B16" s="615" t="s">
        <v>898</v>
      </c>
      <c r="C16" s="618">
        <v>-50452.99</v>
      </c>
      <c r="D16" s="615" t="s">
        <v>805</v>
      </c>
      <c r="E16" s="615"/>
      <c r="F16" s="615"/>
      <c r="G16" s="615"/>
      <c r="H16" s="617"/>
    </row>
    <row r="17" spans="1:14" x14ac:dyDescent="0.25">
      <c r="A17" s="614" t="s">
        <v>804</v>
      </c>
      <c r="B17" s="615" t="s">
        <v>803</v>
      </c>
      <c r="C17" s="616">
        <f>SUM(C12:C16)</f>
        <v>3797267.1899999958</v>
      </c>
      <c r="D17" s="615"/>
      <c r="E17" s="615"/>
      <c r="F17" s="615"/>
      <c r="G17" s="615"/>
      <c r="H17" s="617"/>
    </row>
    <row r="18" spans="1:14" x14ac:dyDescent="0.25">
      <c r="A18" s="614"/>
      <c r="B18" s="615"/>
      <c r="C18" s="616"/>
      <c r="D18" s="615"/>
      <c r="E18" s="615"/>
      <c r="F18" s="615"/>
      <c r="G18" s="615"/>
      <c r="H18" s="617"/>
    </row>
    <row r="19" spans="1:14" x14ac:dyDescent="0.25">
      <c r="A19" s="614" t="s">
        <v>1594</v>
      </c>
      <c r="B19" s="615"/>
      <c r="C19" s="616"/>
      <c r="D19" s="615"/>
      <c r="E19" s="615"/>
      <c r="F19" s="615"/>
      <c r="G19" s="615"/>
      <c r="H19" s="617"/>
    </row>
    <row r="20" spans="1:14" x14ac:dyDescent="0.25">
      <c r="A20" s="614"/>
      <c r="B20" s="615" t="s">
        <v>802</v>
      </c>
      <c r="C20" s="616">
        <f>+C17+C9</f>
        <v>22480108.989999995</v>
      </c>
      <c r="D20" s="615"/>
      <c r="E20" s="615"/>
      <c r="F20" s="615"/>
      <c r="G20" s="615"/>
      <c r="H20" s="617"/>
    </row>
    <row r="21" spans="1:14" x14ac:dyDescent="0.25">
      <c r="A21" s="620"/>
      <c r="B21" s="621"/>
      <c r="C21" s="619"/>
      <c r="D21" s="621"/>
      <c r="E21" s="621"/>
      <c r="F21" s="621"/>
      <c r="G21" s="621"/>
      <c r="H21" s="622"/>
    </row>
    <row r="22" spans="1:14" x14ac:dyDescent="0.25">
      <c r="A22" s="615"/>
      <c r="B22" s="615"/>
      <c r="C22" s="616"/>
      <c r="D22" s="615"/>
      <c r="E22" s="615"/>
      <c r="F22" s="615"/>
      <c r="G22" s="615"/>
      <c r="H22" s="615"/>
      <c r="M22" s="4" t="s">
        <v>1880</v>
      </c>
    </row>
    <row r="23" spans="1:14" hidden="1" x14ac:dyDescent="0.25">
      <c r="A23" s="610" t="s">
        <v>827</v>
      </c>
      <c r="B23" s="611"/>
      <c r="C23" s="612"/>
      <c r="D23" s="611"/>
      <c r="E23" s="611"/>
      <c r="F23" s="611"/>
      <c r="G23" s="611"/>
      <c r="H23" s="613"/>
    </row>
    <row r="24" spans="1:14" hidden="1" x14ac:dyDescent="0.25">
      <c r="A24" s="614"/>
      <c r="B24" s="615"/>
      <c r="C24" s="616"/>
      <c r="D24" s="623"/>
      <c r="E24" s="615"/>
      <c r="F24" s="615"/>
      <c r="G24" s="615"/>
      <c r="H24" s="617"/>
    </row>
    <row r="25" spans="1:14" hidden="1" x14ac:dyDescent="0.25">
      <c r="A25" s="614"/>
      <c r="B25" s="615" t="s">
        <v>826</v>
      </c>
      <c r="C25" s="616"/>
      <c r="D25" s="615"/>
      <c r="E25" s="615"/>
      <c r="F25" s="615"/>
      <c r="G25" s="615"/>
      <c r="H25" s="617"/>
    </row>
    <row r="26" spans="1:14" hidden="1" x14ac:dyDescent="0.25">
      <c r="A26" s="620"/>
      <c r="B26" s="621"/>
      <c r="C26" s="619"/>
      <c r="D26" s="621"/>
      <c r="E26" s="621"/>
      <c r="F26" s="621"/>
      <c r="G26" s="621"/>
      <c r="H26" s="622"/>
    </row>
    <row r="27" spans="1:14" hidden="1" x14ac:dyDescent="0.25">
      <c r="C27" s="608"/>
    </row>
    <row r="28" spans="1:14" x14ac:dyDescent="0.25">
      <c r="A28" s="610" t="s">
        <v>844</v>
      </c>
      <c r="B28" s="611"/>
      <c r="C28" s="612"/>
      <c r="D28" s="611"/>
      <c r="E28" s="611"/>
      <c r="F28" s="611"/>
      <c r="G28" s="611"/>
      <c r="H28" s="613"/>
      <c r="K28" s="992">
        <v>44593</v>
      </c>
      <c r="M28" s="4">
        <v>251692</v>
      </c>
      <c r="N28" s="240" t="s">
        <v>176</v>
      </c>
    </row>
    <row r="29" spans="1:14" x14ac:dyDescent="0.25">
      <c r="A29" s="614"/>
      <c r="B29" s="615" t="s">
        <v>1595</v>
      </c>
      <c r="C29" s="623">
        <f>+C20</f>
        <v>22480108.989999995</v>
      </c>
      <c r="D29" s="615"/>
      <c r="E29" s="615"/>
      <c r="F29" s="615"/>
      <c r="G29" s="615"/>
      <c r="H29" s="617"/>
      <c r="J29" s="4" t="s">
        <v>1598</v>
      </c>
      <c r="K29" s="23">
        <v>1130616</v>
      </c>
      <c r="M29" s="4">
        <v>1130745</v>
      </c>
    </row>
    <row r="30" spans="1:14" x14ac:dyDescent="0.25">
      <c r="A30" s="614"/>
      <c r="B30" s="624">
        <v>0.05</v>
      </c>
      <c r="C30" s="616">
        <f>ROUND((+C29*0.05),0)</f>
        <v>1124005</v>
      </c>
      <c r="D30" s="615" t="s">
        <v>825</v>
      </c>
      <c r="E30" s="615"/>
      <c r="F30" s="615"/>
      <c r="G30" s="615"/>
      <c r="H30" s="617"/>
      <c r="J30" s="4" t="s">
        <v>1599</v>
      </c>
      <c r="K30" s="23">
        <v>102326</v>
      </c>
      <c r="M30" s="4">
        <f>+K30</f>
        <v>102326</v>
      </c>
    </row>
    <row r="31" spans="1:14" x14ac:dyDescent="0.25">
      <c r="A31" s="614"/>
      <c r="B31" s="624">
        <v>0.1</v>
      </c>
      <c r="C31" s="616">
        <f>+C30*2</f>
        <v>2248010</v>
      </c>
      <c r="D31" s="615" t="s">
        <v>824</v>
      </c>
      <c r="E31" s="615"/>
      <c r="F31" s="615"/>
      <c r="G31" s="615"/>
      <c r="H31" s="617"/>
      <c r="J31" s="4" t="s">
        <v>1600</v>
      </c>
      <c r="K31" s="23">
        <v>141962</v>
      </c>
      <c r="M31" s="4">
        <f>+K31</f>
        <v>141962</v>
      </c>
    </row>
    <row r="32" spans="1:14" x14ac:dyDescent="0.25">
      <c r="A32" s="614"/>
      <c r="B32" s="615"/>
      <c r="C32" s="372"/>
      <c r="D32" s="615"/>
      <c r="E32" s="615"/>
      <c r="F32" s="615"/>
      <c r="G32" s="615"/>
      <c r="H32" s="617"/>
      <c r="J32" s="4" t="s">
        <v>1601</v>
      </c>
      <c r="K32" s="23">
        <v>1772034</v>
      </c>
      <c r="M32" s="4">
        <v>1235553</v>
      </c>
    </row>
    <row r="33" spans="1:11" x14ac:dyDescent="0.25">
      <c r="A33" s="614"/>
      <c r="B33" s="615"/>
      <c r="C33" s="372">
        <f>+M28</f>
        <v>251692</v>
      </c>
      <c r="D33" s="625" t="s">
        <v>1902</v>
      </c>
      <c r="E33" s="615"/>
      <c r="F33" s="625"/>
      <c r="G33" s="615"/>
      <c r="H33" s="617"/>
      <c r="J33" s="4" t="s">
        <v>439</v>
      </c>
      <c r="K33" s="23">
        <f>SUM(K29:K32)</f>
        <v>3146938</v>
      </c>
    </row>
    <row r="34" spans="1:11" x14ac:dyDescent="0.25">
      <c r="A34" s="614"/>
      <c r="B34" s="615"/>
      <c r="C34" s="1142">
        <f>+M29+M30+M31+M32</f>
        <v>2610586</v>
      </c>
      <c r="D34" s="615" t="s">
        <v>1903</v>
      </c>
      <c r="E34" s="615"/>
      <c r="F34" s="615"/>
      <c r="G34" s="615"/>
      <c r="H34" s="617"/>
    </row>
    <row r="35" spans="1:11" x14ac:dyDescent="0.25">
      <c r="A35" s="614"/>
      <c r="B35" s="615"/>
      <c r="C35" s="372">
        <f>SUM(C33:C34)</f>
        <v>2862278</v>
      </c>
      <c r="D35" s="615" t="s">
        <v>439</v>
      </c>
      <c r="E35" s="626">
        <f>ROUND((+C35/C29),4)</f>
        <v>0.1273</v>
      </c>
      <c r="F35" s="615" t="s">
        <v>888</v>
      </c>
      <c r="G35" s="615"/>
      <c r="H35" s="617"/>
    </row>
    <row r="36" spans="1:11" x14ac:dyDescent="0.25">
      <c r="A36" s="620"/>
      <c r="B36" s="621"/>
      <c r="C36" s="619"/>
      <c r="D36" s="621"/>
      <c r="E36" s="621"/>
      <c r="F36" s="621"/>
      <c r="G36" s="621"/>
      <c r="H36" s="622"/>
    </row>
    <row r="37" spans="1:11" x14ac:dyDescent="0.25">
      <c r="C37" s="608"/>
    </row>
    <row r="38" spans="1:11" x14ac:dyDescent="0.25">
      <c r="A38" s="610" t="s">
        <v>884</v>
      </c>
      <c r="B38" s="611"/>
      <c r="C38" s="612"/>
      <c r="D38" s="611"/>
      <c r="E38" s="611"/>
      <c r="F38" s="611"/>
      <c r="G38" s="611"/>
      <c r="H38" s="613"/>
    </row>
    <row r="39" spans="1:11" x14ac:dyDescent="0.25">
      <c r="A39" s="614"/>
      <c r="B39" s="615" t="s">
        <v>1596</v>
      </c>
      <c r="C39" s="616">
        <f>+C30</f>
        <v>1124005</v>
      </c>
      <c r="D39" s="615"/>
      <c r="E39" s="615"/>
      <c r="F39" s="615"/>
      <c r="G39" s="615"/>
      <c r="H39" s="617"/>
    </row>
    <row r="40" spans="1:11" x14ac:dyDescent="0.25">
      <c r="A40" s="614"/>
      <c r="B40" s="615" t="s">
        <v>1214</v>
      </c>
      <c r="C40" s="618">
        <f>+K29</f>
        <v>1130616</v>
      </c>
      <c r="D40" s="626">
        <f>ROUND((+C40/C29),4)</f>
        <v>5.0299999999999997E-2</v>
      </c>
      <c r="E40" s="615"/>
      <c r="F40" s="615"/>
      <c r="G40" s="615"/>
      <c r="H40" s="617"/>
    </row>
    <row r="41" spans="1:11" ht="15.6" x14ac:dyDescent="0.3">
      <c r="A41" s="614"/>
      <c r="B41" s="615" t="s">
        <v>823</v>
      </c>
      <c r="C41" s="627">
        <f>+C39-C40</f>
        <v>-6611</v>
      </c>
      <c r="D41" s="615"/>
      <c r="E41" s="615"/>
      <c r="F41" s="615"/>
      <c r="G41" s="615"/>
      <c r="H41" s="617"/>
    </row>
    <row r="42" spans="1:11" x14ac:dyDescent="0.25">
      <c r="A42" s="614"/>
      <c r="B42" s="615"/>
      <c r="C42" s="616"/>
      <c r="D42" s="615"/>
      <c r="E42" s="615"/>
      <c r="F42" s="615"/>
      <c r="G42" s="615"/>
      <c r="H42" s="617"/>
    </row>
    <row r="43" spans="1:11" hidden="1" x14ac:dyDescent="0.25">
      <c r="A43" s="614"/>
      <c r="B43" s="615" t="s">
        <v>822</v>
      </c>
      <c r="C43" s="616"/>
      <c r="D43" s="615"/>
      <c r="E43" s="615"/>
      <c r="F43" s="615"/>
      <c r="G43" s="615"/>
      <c r="H43" s="617"/>
    </row>
    <row r="44" spans="1:11" hidden="1" x14ac:dyDescent="0.25">
      <c r="A44" s="614"/>
      <c r="B44" s="615" t="s">
        <v>821</v>
      </c>
      <c r="C44" s="616">
        <f>ROUND((+C33*0.35),0)</f>
        <v>88092</v>
      </c>
      <c r="D44" s="615"/>
      <c r="E44" s="615"/>
      <c r="F44" s="615"/>
      <c r="G44" s="615"/>
      <c r="H44" s="617"/>
    </row>
    <row r="45" spans="1:11" x14ac:dyDescent="0.25">
      <c r="A45" s="620"/>
      <c r="B45" s="621"/>
      <c r="C45" s="619"/>
      <c r="D45" s="621"/>
      <c r="E45" s="621"/>
      <c r="F45" s="621"/>
      <c r="G45" s="621"/>
      <c r="H45" s="622"/>
    </row>
    <row r="46" spans="1:11" x14ac:dyDescent="0.25">
      <c r="C46" s="608"/>
    </row>
    <row r="47" spans="1:11" x14ac:dyDescent="0.25">
      <c r="A47" s="610" t="s">
        <v>885</v>
      </c>
      <c r="B47" s="611"/>
      <c r="C47" s="612"/>
      <c r="D47" s="611"/>
      <c r="E47" s="611"/>
      <c r="F47" s="611"/>
      <c r="G47" s="611"/>
      <c r="H47" s="613"/>
    </row>
    <row r="48" spans="1:11" ht="15.6" x14ac:dyDescent="0.3">
      <c r="A48" s="614"/>
      <c r="B48" s="615" t="s">
        <v>989</v>
      </c>
      <c r="C48" s="627">
        <f>ROUND((+C29*0.003),0)</f>
        <v>67440</v>
      </c>
      <c r="D48" s="372"/>
      <c r="E48" s="615"/>
      <c r="F48" s="615"/>
      <c r="G48" s="615"/>
      <c r="H48" s="617"/>
    </row>
    <row r="49" spans="1:9" x14ac:dyDescent="0.25">
      <c r="A49" s="620"/>
      <c r="B49" s="621"/>
      <c r="C49" s="619"/>
      <c r="D49" s="619"/>
      <c r="E49" s="621"/>
      <c r="F49" s="621"/>
      <c r="G49" s="621"/>
      <c r="H49" s="622"/>
    </row>
    <row r="50" spans="1:9" x14ac:dyDescent="0.25">
      <c r="A50" s="615"/>
      <c r="B50" s="615"/>
      <c r="C50" s="616"/>
      <c r="D50" s="615"/>
      <c r="E50" s="615"/>
      <c r="F50" s="615"/>
      <c r="G50" s="615"/>
      <c r="H50" s="615"/>
      <c r="I50" s="615"/>
    </row>
    <row r="51" spans="1:9" hidden="1" x14ac:dyDescent="0.25">
      <c r="A51" s="610" t="s">
        <v>988</v>
      </c>
      <c r="B51" s="611"/>
      <c r="C51" s="612"/>
      <c r="D51" s="611"/>
      <c r="E51" s="611"/>
      <c r="F51" s="611"/>
      <c r="G51" s="611"/>
      <c r="H51" s="613"/>
      <c r="I51" s="615"/>
    </row>
    <row r="52" spans="1:9" hidden="1" x14ac:dyDescent="0.25">
      <c r="A52" s="614"/>
      <c r="B52" s="615" t="s">
        <v>433</v>
      </c>
      <c r="C52" s="372">
        <v>540285</v>
      </c>
      <c r="D52" s="615"/>
      <c r="E52" s="615"/>
      <c r="F52" s="615"/>
      <c r="G52" s="615"/>
      <c r="H52" s="617"/>
      <c r="I52" s="615"/>
    </row>
    <row r="53" spans="1:9" hidden="1" x14ac:dyDescent="0.25">
      <c r="A53" s="614"/>
      <c r="B53" s="615" t="s">
        <v>842</v>
      </c>
      <c r="C53" s="616">
        <f>ROUND((+C29*0.03),0)</f>
        <v>674403</v>
      </c>
      <c r="D53" s="615"/>
      <c r="E53" s="615"/>
      <c r="F53" s="615"/>
      <c r="G53" s="615"/>
      <c r="H53" s="617"/>
      <c r="I53" s="615"/>
    </row>
    <row r="54" spans="1:9" ht="15.6" hidden="1" x14ac:dyDescent="0.3">
      <c r="A54" s="614"/>
      <c r="B54" s="615"/>
      <c r="C54" s="627">
        <f>+C52-C53</f>
        <v>-134118</v>
      </c>
      <c r="D54" s="615" t="s">
        <v>820</v>
      </c>
      <c r="E54" s="615"/>
      <c r="F54" s="615"/>
      <c r="G54" s="615"/>
      <c r="H54" s="617"/>
      <c r="I54" s="615"/>
    </row>
    <row r="55" spans="1:9" hidden="1" x14ac:dyDescent="0.25">
      <c r="A55" s="620"/>
      <c r="B55" s="621"/>
      <c r="C55" s="619"/>
      <c r="D55" s="621"/>
      <c r="E55" s="621"/>
      <c r="F55" s="621"/>
      <c r="G55" s="621"/>
      <c r="H55" s="622"/>
      <c r="I55" s="615"/>
    </row>
    <row r="56" spans="1:9" hidden="1" x14ac:dyDescent="0.25">
      <c r="C56" s="608"/>
    </row>
    <row r="57" spans="1:9" x14ac:dyDescent="0.25">
      <c r="A57" s="610" t="s">
        <v>1215</v>
      </c>
      <c r="B57" s="611"/>
      <c r="C57" s="612"/>
      <c r="D57" s="611"/>
      <c r="E57" s="611"/>
      <c r="F57" s="611"/>
      <c r="G57" s="611"/>
      <c r="H57" s="613"/>
      <c r="I57" s="615"/>
    </row>
    <row r="58" spans="1:9" ht="15.6" x14ac:dyDescent="0.3">
      <c r="A58" s="614"/>
      <c r="B58" s="615" t="s">
        <v>843</v>
      </c>
      <c r="C58" s="627">
        <f>ROUND((+C20*0.002),0)</f>
        <v>44960</v>
      </c>
      <c r="D58" s="372"/>
      <c r="E58" s="615"/>
      <c r="F58" s="615"/>
      <c r="G58" s="615"/>
      <c r="H58" s="617"/>
      <c r="I58" s="615"/>
    </row>
    <row r="59" spans="1:9" x14ac:dyDescent="0.25">
      <c r="A59" s="620"/>
      <c r="B59" s="621"/>
      <c r="C59" s="619"/>
      <c r="D59" s="619"/>
      <c r="E59" s="621"/>
      <c r="F59" s="621"/>
      <c r="G59" s="621"/>
      <c r="H59" s="622"/>
      <c r="I59" s="615"/>
    </row>
    <row r="60" spans="1:9" x14ac:dyDescent="0.25">
      <c r="C60" s="608"/>
    </row>
    <row r="61" spans="1:9" x14ac:dyDescent="0.25">
      <c r="A61" s="610" t="s">
        <v>850</v>
      </c>
      <c r="B61" s="611"/>
      <c r="C61" s="612"/>
      <c r="D61" s="611"/>
      <c r="E61" s="611"/>
      <c r="F61" s="611"/>
      <c r="G61" s="611"/>
      <c r="H61" s="613"/>
      <c r="I61" s="615"/>
    </row>
    <row r="62" spans="1:9" x14ac:dyDescent="0.25">
      <c r="A62" s="614"/>
      <c r="B62" s="615"/>
      <c r="C62" s="616"/>
      <c r="D62" s="615" t="s">
        <v>1453</v>
      </c>
      <c r="E62" s="615" t="s">
        <v>1455</v>
      </c>
      <c r="F62" s="615"/>
      <c r="G62" s="615"/>
      <c r="H62" s="617"/>
      <c r="I62" s="615"/>
    </row>
    <row r="63" spans="1:9" x14ac:dyDescent="0.25">
      <c r="A63" s="614"/>
      <c r="B63" s="615" t="s">
        <v>1452</v>
      </c>
      <c r="C63" s="616">
        <f>ROUND((+C20*0.04),0)</f>
        <v>899204</v>
      </c>
      <c r="D63" s="615"/>
      <c r="E63" s="615"/>
      <c r="F63" s="615"/>
      <c r="G63" s="615"/>
      <c r="H63" s="617"/>
      <c r="I63" s="615"/>
    </row>
    <row r="64" spans="1:9" x14ac:dyDescent="0.25">
      <c r="A64" s="1124"/>
      <c r="B64" s="615" t="s">
        <v>840</v>
      </c>
      <c r="C64" s="616">
        <f>ROUND((+C20*0.06),0)</f>
        <v>1348807</v>
      </c>
      <c r="D64" s="615"/>
      <c r="E64" s="615"/>
      <c r="F64" s="615"/>
      <c r="G64" s="615"/>
      <c r="H64" s="617"/>
      <c r="I64" s="615"/>
    </row>
    <row r="65" spans="1:9" x14ac:dyDescent="0.25">
      <c r="A65" s="1124"/>
      <c r="B65" s="615" t="s">
        <v>841</v>
      </c>
      <c r="C65" s="616">
        <f>ROUND((+C20*0.08),0)</f>
        <v>1798409</v>
      </c>
      <c r="D65" s="623"/>
      <c r="E65" s="615"/>
      <c r="F65" s="615"/>
      <c r="G65" s="615"/>
      <c r="H65" s="617"/>
      <c r="I65" s="615"/>
    </row>
    <row r="66" spans="1:9" x14ac:dyDescent="0.25">
      <c r="A66" s="1124"/>
      <c r="B66" s="615"/>
      <c r="C66" s="616"/>
      <c r="D66" s="615"/>
      <c r="E66" s="615"/>
      <c r="F66" s="615"/>
      <c r="G66" s="615"/>
      <c r="H66" s="617"/>
      <c r="I66" s="615"/>
    </row>
    <row r="67" spans="1:9" x14ac:dyDescent="0.25">
      <c r="A67" s="1124"/>
      <c r="B67" s="615" t="s">
        <v>835</v>
      </c>
      <c r="C67" s="616"/>
      <c r="D67" s="615"/>
      <c r="E67" s="615"/>
      <c r="F67" s="615"/>
      <c r="G67" s="615"/>
      <c r="H67" s="617"/>
      <c r="I67" s="615"/>
    </row>
    <row r="68" spans="1:9" x14ac:dyDescent="0.25">
      <c r="A68" s="1124"/>
      <c r="B68" s="615" t="s">
        <v>819</v>
      </c>
      <c r="C68" s="372">
        <f>+'700 Debt '!O31</f>
        <v>662515</v>
      </c>
      <c r="D68" s="623">
        <f>+C68</f>
        <v>662515</v>
      </c>
      <c r="E68" s="623">
        <f>+D68+D69-'Debt Exclusion Calc.'!G28</f>
        <v>73966.580000000075</v>
      </c>
      <c r="F68" s="615" t="s">
        <v>1454</v>
      </c>
      <c r="G68" s="615"/>
      <c r="H68" s="617"/>
      <c r="I68" s="615"/>
    </row>
    <row r="69" spans="1:9" x14ac:dyDescent="0.25">
      <c r="A69" s="1124"/>
      <c r="B69" s="615" t="s">
        <v>818</v>
      </c>
      <c r="C69" s="372">
        <f>+'700 Debt '!O56</f>
        <v>479674.25</v>
      </c>
      <c r="D69" s="623">
        <f>+C69</f>
        <v>479674.25</v>
      </c>
      <c r="E69" s="615"/>
      <c r="F69" s="615"/>
      <c r="G69" s="615"/>
      <c r="H69" s="617"/>
      <c r="I69" s="615"/>
    </row>
    <row r="70" spans="1:9" x14ac:dyDescent="0.25">
      <c r="A70" s="1124"/>
      <c r="B70" s="615" t="s">
        <v>886</v>
      </c>
      <c r="C70" s="372">
        <f>+'Debt Exclusion Calc.'!I29</f>
        <v>114333</v>
      </c>
      <c r="D70" s="623">
        <f>+C70</f>
        <v>114333</v>
      </c>
      <c r="E70" s="615"/>
      <c r="F70" s="615"/>
      <c r="G70" s="615"/>
      <c r="H70" s="617"/>
      <c r="I70" s="615"/>
    </row>
    <row r="71" spans="1:9" x14ac:dyDescent="0.25">
      <c r="A71" s="1124"/>
      <c r="B71" s="628" t="s">
        <v>609</v>
      </c>
      <c r="C71" s="372">
        <f>+'211 Police'!O56</f>
        <v>54000</v>
      </c>
      <c r="D71" s="629"/>
      <c r="E71" s="615"/>
      <c r="F71" s="615"/>
      <c r="G71" s="615"/>
      <c r="H71" s="617"/>
      <c r="I71" s="615"/>
    </row>
    <row r="72" spans="1:9" x14ac:dyDescent="0.25">
      <c r="A72" s="1124"/>
      <c r="B72" s="628" t="s">
        <v>1259</v>
      </c>
      <c r="C72" s="372">
        <f>+'420 DPW'!O57</f>
        <v>0</v>
      </c>
      <c r="D72" s="372"/>
      <c r="E72" s="615"/>
      <c r="F72" s="615"/>
      <c r="G72" s="615"/>
      <c r="H72" s="617"/>
      <c r="I72" s="615"/>
    </row>
    <row r="73" spans="1:9" x14ac:dyDescent="0.25">
      <c r="A73" s="1124"/>
      <c r="B73" s="628" t="s">
        <v>817</v>
      </c>
      <c r="C73" s="372">
        <v>50000</v>
      </c>
      <c r="D73" s="372"/>
      <c r="E73" s="615"/>
      <c r="F73" s="615"/>
      <c r="G73" s="615"/>
      <c r="H73" s="617"/>
      <c r="I73" s="615"/>
    </row>
    <row r="74" spans="1:9" x14ac:dyDescent="0.25">
      <c r="A74" s="1124">
        <v>44485</v>
      </c>
      <c r="B74" s="628" t="s">
        <v>1622</v>
      </c>
      <c r="C74" s="372">
        <v>100000</v>
      </c>
      <c r="D74" s="372"/>
      <c r="E74" s="615"/>
      <c r="F74" s="615"/>
      <c r="G74" s="615"/>
      <c r="H74" s="617"/>
      <c r="I74" s="615"/>
    </row>
    <row r="75" spans="1:9" x14ac:dyDescent="0.25">
      <c r="A75" s="1124">
        <v>44485</v>
      </c>
      <c r="B75" s="628" t="s">
        <v>1623</v>
      </c>
      <c r="C75" s="372">
        <v>135000</v>
      </c>
      <c r="D75" s="372"/>
      <c r="E75" s="615"/>
      <c r="F75" s="615"/>
      <c r="G75" s="615"/>
      <c r="H75" s="617"/>
      <c r="I75" s="615"/>
    </row>
    <row r="76" spans="1:9" x14ac:dyDescent="0.25">
      <c r="A76" s="1124">
        <v>44485</v>
      </c>
      <c r="B76" s="628" t="s">
        <v>1625</v>
      </c>
      <c r="C76" s="372">
        <v>114832</v>
      </c>
      <c r="D76" s="372"/>
      <c r="E76" s="615"/>
      <c r="F76" s="615"/>
      <c r="G76" s="615"/>
      <c r="H76" s="617"/>
      <c r="I76" s="615"/>
    </row>
    <row r="77" spans="1:9" x14ac:dyDescent="0.25">
      <c r="A77" s="1124">
        <v>44485</v>
      </c>
      <c r="B77" s="628" t="s">
        <v>1624</v>
      </c>
      <c r="C77" s="372">
        <v>45000</v>
      </c>
      <c r="D77" s="372"/>
      <c r="E77" s="615"/>
      <c r="F77" s="615"/>
      <c r="G77" s="615"/>
      <c r="H77" s="617"/>
      <c r="I77" s="615"/>
    </row>
    <row r="78" spans="1:9" x14ac:dyDescent="0.25">
      <c r="A78" s="1124">
        <v>44623</v>
      </c>
      <c r="B78" s="628" t="s">
        <v>1881</v>
      </c>
      <c r="C78" s="372">
        <v>25100</v>
      </c>
      <c r="D78" s="372"/>
      <c r="E78" s="615"/>
      <c r="F78" s="615"/>
      <c r="G78" s="615"/>
      <c r="H78" s="617"/>
      <c r="I78" s="615"/>
    </row>
    <row r="79" spans="1:9" x14ac:dyDescent="0.25">
      <c r="A79" s="1124">
        <v>44623</v>
      </c>
      <c r="B79" s="628" t="s">
        <v>1882</v>
      </c>
      <c r="C79" s="372">
        <v>315000</v>
      </c>
      <c r="D79" s="372"/>
      <c r="E79" s="615"/>
      <c r="F79" s="615"/>
      <c r="G79" s="615"/>
      <c r="H79" s="617"/>
      <c r="I79" s="615"/>
    </row>
    <row r="80" spans="1:9" x14ac:dyDescent="0.25">
      <c r="A80" s="1124">
        <v>44623</v>
      </c>
      <c r="B80" s="628" t="s">
        <v>1885</v>
      </c>
      <c r="C80" s="372">
        <v>125000</v>
      </c>
      <c r="D80" s="372"/>
      <c r="E80" s="615"/>
      <c r="F80" s="615"/>
      <c r="G80" s="615"/>
      <c r="H80" s="617"/>
      <c r="I80" s="615"/>
    </row>
    <row r="81" spans="1:11" x14ac:dyDescent="0.25">
      <c r="A81" s="1124">
        <v>44688</v>
      </c>
      <c r="B81" s="628" t="s">
        <v>1680</v>
      </c>
      <c r="C81" s="372">
        <v>125000</v>
      </c>
      <c r="D81" s="372"/>
      <c r="E81" s="615"/>
      <c r="F81" s="615"/>
      <c r="G81" s="615"/>
      <c r="H81" s="617"/>
      <c r="I81" s="615"/>
    </row>
    <row r="82" spans="1:11" x14ac:dyDescent="0.25">
      <c r="A82" s="1124">
        <v>44688</v>
      </c>
      <c r="B82" s="628" t="s">
        <v>1883</v>
      </c>
      <c r="C82" s="372">
        <v>60000</v>
      </c>
      <c r="D82" s="372"/>
      <c r="E82" s="615"/>
      <c r="F82" s="615"/>
      <c r="G82" s="615"/>
      <c r="H82" s="617"/>
      <c r="I82" s="615"/>
    </row>
    <row r="83" spans="1:11" x14ac:dyDescent="0.25">
      <c r="A83" s="1124">
        <v>44688</v>
      </c>
      <c r="B83" s="628" t="s">
        <v>1884</v>
      </c>
      <c r="C83" s="372">
        <v>130000</v>
      </c>
      <c r="D83" s="372"/>
      <c r="E83" s="615"/>
      <c r="F83" s="615"/>
      <c r="G83" s="615"/>
      <c r="H83" s="617"/>
      <c r="I83" s="615"/>
    </row>
    <row r="84" spans="1:11" x14ac:dyDescent="0.25">
      <c r="A84" s="1124">
        <v>44688</v>
      </c>
      <c r="B84" s="628" t="s">
        <v>1678</v>
      </c>
      <c r="C84" s="372">
        <v>100000</v>
      </c>
      <c r="D84" s="372"/>
      <c r="E84" s="615"/>
      <c r="F84" s="615"/>
      <c r="G84" s="615"/>
      <c r="H84" s="617"/>
      <c r="I84" s="615"/>
      <c r="J84" s="4">
        <f>SUM(C71:C84)</f>
        <v>1378932</v>
      </c>
      <c r="K84" s="4" t="s">
        <v>1886</v>
      </c>
    </row>
    <row r="85" spans="1:11" x14ac:dyDescent="0.25">
      <c r="A85" s="1124">
        <v>44688</v>
      </c>
      <c r="B85" s="628" t="s">
        <v>1885</v>
      </c>
      <c r="C85" s="372">
        <v>125000</v>
      </c>
      <c r="D85" s="372"/>
      <c r="E85" s="615"/>
      <c r="F85" s="615"/>
      <c r="G85" s="615"/>
      <c r="H85" s="617"/>
      <c r="I85" s="615"/>
      <c r="K85" s="4"/>
    </row>
    <row r="86" spans="1:11" x14ac:dyDescent="0.25">
      <c r="A86" s="614" t="s">
        <v>966</v>
      </c>
      <c r="B86" s="615"/>
      <c r="C86" s="616"/>
      <c r="D86" s="623"/>
      <c r="E86" s="615"/>
      <c r="F86" s="615"/>
      <c r="G86" s="615"/>
      <c r="H86" s="617"/>
      <c r="I86" s="615"/>
    </row>
    <row r="87" spans="1:11" ht="15.6" x14ac:dyDescent="0.3">
      <c r="A87" s="614"/>
      <c r="B87" s="615" t="s">
        <v>816</v>
      </c>
      <c r="C87" s="630">
        <f>+C64-SUM(C68:C84)</f>
        <v>-1286647.25</v>
      </c>
      <c r="D87" s="631"/>
      <c r="E87" s="615"/>
      <c r="F87" s="615"/>
      <c r="G87" s="615"/>
      <c r="H87" s="617"/>
      <c r="I87" s="615"/>
    </row>
    <row r="88" spans="1:11" x14ac:dyDescent="0.25">
      <c r="A88" s="614"/>
      <c r="B88" s="615" t="s">
        <v>439</v>
      </c>
      <c r="C88" s="616">
        <f>SUM(C68:C87)</f>
        <v>1473807</v>
      </c>
      <c r="D88" s="623">
        <f>SUM(D68:D87)</f>
        <v>1256522.25</v>
      </c>
      <c r="E88" s="623">
        <f>SUM(E68:E87)</f>
        <v>73966.580000000075</v>
      </c>
      <c r="F88" s="615"/>
      <c r="G88" s="615"/>
      <c r="H88" s="617"/>
      <c r="I88" s="615"/>
    </row>
    <row r="89" spans="1:11" x14ac:dyDescent="0.25">
      <c r="A89" s="614"/>
      <c r="B89" s="615"/>
      <c r="C89" s="616"/>
      <c r="D89" s="837">
        <f>ROUND((+D88/C20),4)</f>
        <v>5.5899999999999998E-2</v>
      </c>
      <c r="E89" s="615" t="s">
        <v>1673</v>
      </c>
      <c r="F89" s="615"/>
      <c r="G89" s="615"/>
      <c r="H89" s="617"/>
      <c r="I89" s="615"/>
    </row>
    <row r="90" spans="1:11" x14ac:dyDescent="0.25">
      <c r="A90" s="614"/>
      <c r="B90" s="615" t="s">
        <v>1344</v>
      </c>
      <c r="C90" s="616">
        <f>+C65-SUM(C68:C86)</f>
        <v>-962045.25</v>
      </c>
      <c r="D90" s="623"/>
      <c r="E90" s="615"/>
      <c r="F90" s="615"/>
      <c r="G90" s="615"/>
      <c r="H90" s="617"/>
      <c r="I90" s="615"/>
    </row>
    <row r="91" spans="1:11" x14ac:dyDescent="0.25">
      <c r="A91" s="620"/>
      <c r="B91" s="621"/>
      <c r="C91" s="619"/>
      <c r="D91" s="621"/>
      <c r="E91" s="621"/>
      <c r="F91" s="621"/>
      <c r="G91" s="621"/>
      <c r="H91" s="622"/>
      <c r="I91" s="615"/>
    </row>
    <row r="92" spans="1:11" x14ac:dyDescent="0.25">
      <c r="C92" s="608"/>
    </row>
    <row r="93" spans="1:11" ht="15.6" x14ac:dyDescent="0.3">
      <c r="A93" s="610" t="s">
        <v>1451</v>
      </c>
      <c r="B93" s="611"/>
      <c r="C93" s="612"/>
      <c r="D93" s="611"/>
      <c r="E93" s="611"/>
      <c r="F93" s="611"/>
      <c r="G93" s="611"/>
      <c r="H93" s="613"/>
      <c r="I93" s="615"/>
    </row>
    <row r="94" spans="1:11" x14ac:dyDescent="0.25">
      <c r="A94" s="614" t="s">
        <v>1597</v>
      </c>
      <c r="B94" s="615"/>
      <c r="C94" s="616"/>
      <c r="D94" s="615"/>
      <c r="E94" s="615"/>
      <c r="F94" s="615"/>
      <c r="G94" s="615"/>
      <c r="H94" s="617"/>
      <c r="I94" s="615"/>
    </row>
    <row r="95" spans="1:11" x14ac:dyDescent="0.25">
      <c r="A95" s="614"/>
      <c r="B95" s="615"/>
      <c r="C95" s="616"/>
      <c r="D95" s="615"/>
      <c r="E95" s="615"/>
      <c r="F95" s="615"/>
      <c r="G95" s="615"/>
      <c r="H95" s="617"/>
      <c r="I95" s="615"/>
    </row>
    <row r="96" spans="1:11" x14ac:dyDescent="0.25">
      <c r="A96" s="614"/>
      <c r="B96" s="615" t="s">
        <v>832</v>
      </c>
      <c r="D96" s="615"/>
      <c r="E96" s="615" t="s">
        <v>835</v>
      </c>
      <c r="F96" s="615"/>
      <c r="G96" s="615"/>
      <c r="H96" s="617"/>
      <c r="I96" s="615"/>
    </row>
    <row r="97" spans="1:9" x14ac:dyDescent="0.25">
      <c r="A97" s="614"/>
      <c r="B97" s="615" t="s">
        <v>815</v>
      </c>
      <c r="C97" s="372">
        <f>+'Revenue Projections Detail'!L16</f>
        <v>20877815.670000002</v>
      </c>
      <c r="D97" s="372">
        <v>50000</v>
      </c>
      <c r="E97" s="615" t="s">
        <v>817</v>
      </c>
      <c r="F97" s="615"/>
      <c r="G97" s="615"/>
      <c r="H97" s="617"/>
      <c r="I97" s="615"/>
    </row>
    <row r="98" spans="1:9" x14ac:dyDescent="0.25">
      <c r="A98" s="614"/>
      <c r="B98" s="596" t="s">
        <v>1456</v>
      </c>
      <c r="C98" s="597">
        <f>-'Revenue Projections Detail'!L11</f>
        <v>-1182555.67</v>
      </c>
      <c r="D98" s="372">
        <v>114832</v>
      </c>
      <c r="E98" s="628" t="s">
        <v>1671</v>
      </c>
      <c r="F98" s="615"/>
      <c r="G98" s="615"/>
      <c r="H98" s="617"/>
      <c r="I98" s="615"/>
    </row>
    <row r="99" spans="1:9" x14ac:dyDescent="0.25">
      <c r="A99" s="614"/>
      <c r="B99" s="615" t="s">
        <v>833</v>
      </c>
      <c r="C99" s="372">
        <f>+'Revenue Projections Detail'!L28</f>
        <v>1879826</v>
      </c>
      <c r="D99" s="372">
        <v>45000</v>
      </c>
      <c r="E99" s="628" t="s">
        <v>1672</v>
      </c>
      <c r="F99" s="615"/>
      <c r="G99" s="615"/>
      <c r="H99" s="617"/>
      <c r="I99" s="615"/>
    </row>
    <row r="100" spans="1:9" x14ac:dyDescent="0.25">
      <c r="A100" s="614"/>
      <c r="B100" s="615" t="s">
        <v>834</v>
      </c>
      <c r="C100" s="618">
        <f>+'Revenue Projections Detail'!L54</f>
        <v>1809276</v>
      </c>
      <c r="D100" s="372">
        <v>250000</v>
      </c>
      <c r="E100" s="373" t="s">
        <v>1928</v>
      </c>
      <c r="F100" s="615"/>
      <c r="G100" s="615"/>
      <c r="H100" s="617"/>
      <c r="I100" s="615"/>
    </row>
    <row r="101" spans="1:9" x14ac:dyDescent="0.25">
      <c r="A101" s="614"/>
      <c r="B101" s="615" t="s">
        <v>838</v>
      </c>
      <c r="C101" s="372">
        <f>SUM(C97:C100)</f>
        <v>23384362</v>
      </c>
      <c r="D101" s="372">
        <v>295000</v>
      </c>
      <c r="E101" s="373" t="s">
        <v>1882</v>
      </c>
      <c r="F101" s="615"/>
      <c r="G101" s="615"/>
      <c r="H101" s="617"/>
      <c r="I101" s="615"/>
    </row>
    <row r="102" spans="1:9" x14ac:dyDescent="0.25">
      <c r="A102" s="614"/>
      <c r="B102" s="615"/>
      <c r="C102" s="372"/>
      <c r="D102" s="372">
        <f>125000+60000+230000</f>
        <v>415000</v>
      </c>
      <c r="E102" s="373" t="s">
        <v>1929</v>
      </c>
      <c r="F102" s="615"/>
      <c r="G102" s="615"/>
      <c r="H102" s="617"/>
      <c r="I102" s="615"/>
    </row>
    <row r="103" spans="1:9" x14ac:dyDescent="0.25">
      <c r="A103" s="614"/>
      <c r="B103" s="615"/>
      <c r="C103" s="372"/>
      <c r="D103" s="618">
        <f>+'211 Police'!O56</f>
        <v>54000</v>
      </c>
      <c r="E103" s="628" t="s">
        <v>609</v>
      </c>
      <c r="F103" s="615"/>
      <c r="G103" s="615"/>
      <c r="H103" s="617"/>
      <c r="I103" s="615"/>
    </row>
    <row r="104" spans="1:9" x14ac:dyDescent="0.25">
      <c r="A104" s="614"/>
      <c r="B104" s="615" t="s">
        <v>839</v>
      </c>
      <c r="C104" s="372">
        <f>ROUND((+C101*0.02),0)</f>
        <v>467687</v>
      </c>
      <c r="D104" s="616">
        <f>SUM(D97:D103)</f>
        <v>1223832</v>
      </c>
      <c r="E104" s="615" t="s">
        <v>439</v>
      </c>
      <c r="F104" s="615"/>
      <c r="G104" s="615"/>
      <c r="H104" s="617"/>
      <c r="I104" s="615"/>
    </row>
    <row r="105" spans="1:9" x14ac:dyDescent="0.25">
      <c r="A105" s="614"/>
      <c r="B105" s="615"/>
      <c r="C105" s="372"/>
      <c r="D105" s="616">
        <f>+C104-D104</f>
        <v>-756145</v>
      </c>
      <c r="E105" s="615" t="s">
        <v>1674</v>
      </c>
      <c r="F105" s="615"/>
      <c r="G105" s="615"/>
      <c r="H105" s="617"/>
      <c r="I105" s="615"/>
    </row>
    <row r="106" spans="1:9" x14ac:dyDescent="0.25">
      <c r="A106" s="614"/>
      <c r="B106" s="615"/>
      <c r="C106" s="372"/>
      <c r="D106" s="616"/>
      <c r="E106" s="615"/>
      <c r="F106" s="615"/>
      <c r="G106" s="615"/>
      <c r="H106" s="617"/>
      <c r="I106" s="615"/>
    </row>
    <row r="107" spans="1:9" x14ac:dyDescent="0.25">
      <c r="A107" s="620"/>
      <c r="B107" s="621"/>
      <c r="C107" s="619"/>
      <c r="D107" s="621"/>
      <c r="E107" s="621"/>
      <c r="F107" s="621"/>
      <c r="G107" s="621"/>
      <c r="H107" s="622"/>
      <c r="I107" s="615"/>
    </row>
    <row r="108" spans="1:9" x14ac:dyDescent="0.25">
      <c r="C108" s="608"/>
    </row>
    <row r="109" spans="1:9" x14ac:dyDescent="0.25">
      <c r="A109" s="610" t="s">
        <v>836</v>
      </c>
      <c r="B109" s="611"/>
      <c r="C109" s="612"/>
      <c r="D109" s="611"/>
      <c r="E109" s="611"/>
      <c r="F109" s="611"/>
      <c r="G109" s="611"/>
      <c r="H109" s="613"/>
      <c r="I109" s="615"/>
    </row>
    <row r="110" spans="1:9" x14ac:dyDescent="0.25">
      <c r="A110" s="614"/>
      <c r="B110" s="615" t="s">
        <v>837</v>
      </c>
      <c r="C110" s="616"/>
      <c r="D110" s="615"/>
      <c r="E110" s="615"/>
      <c r="F110" s="615"/>
      <c r="G110" s="615"/>
      <c r="H110" s="617"/>
      <c r="I110" s="615"/>
    </row>
    <row r="111" spans="1:9" x14ac:dyDescent="0.25">
      <c r="A111" s="614"/>
      <c r="B111" s="615" t="s">
        <v>819</v>
      </c>
      <c r="C111" s="616">
        <f>+C68</f>
        <v>662515</v>
      </c>
      <c r="D111" s="615"/>
      <c r="E111" s="615"/>
      <c r="F111" s="615"/>
      <c r="G111" s="615"/>
      <c r="H111" s="617"/>
      <c r="I111" s="615"/>
    </row>
    <row r="112" spans="1:9" x14ac:dyDescent="0.25">
      <c r="A112" s="614"/>
      <c r="B112" s="615" t="s">
        <v>818</v>
      </c>
      <c r="C112" s="616">
        <f>+C69</f>
        <v>479674.25</v>
      </c>
      <c r="D112" s="615"/>
      <c r="E112" s="615"/>
      <c r="F112" s="615"/>
      <c r="G112" s="615"/>
      <c r="H112" s="617"/>
      <c r="I112" s="615"/>
    </row>
    <row r="113" spans="1:9" x14ac:dyDescent="0.25">
      <c r="A113" s="614"/>
      <c r="B113" s="615" t="s">
        <v>845</v>
      </c>
      <c r="C113" s="616">
        <f>SUM(C111:C112)</f>
        <v>1142189.25</v>
      </c>
      <c r="D113" s="615"/>
      <c r="E113" s="615"/>
      <c r="F113" s="615"/>
      <c r="G113" s="615"/>
      <c r="H113" s="617"/>
      <c r="I113" s="615"/>
    </row>
    <row r="114" spans="1:9" x14ac:dyDescent="0.25">
      <c r="A114" s="614"/>
      <c r="B114" s="615" t="s">
        <v>846</v>
      </c>
      <c r="C114" s="632">
        <f>ROUND((+C113/C20),4)</f>
        <v>5.0799999999999998E-2</v>
      </c>
      <c r="D114" s="615"/>
      <c r="E114" s="615"/>
      <c r="F114" s="615"/>
      <c r="G114" s="615"/>
      <c r="H114" s="617"/>
      <c r="I114" s="615"/>
    </row>
    <row r="115" spans="1:9" x14ac:dyDescent="0.25">
      <c r="A115" s="614"/>
      <c r="B115" s="615" t="s">
        <v>824</v>
      </c>
      <c r="C115" s="633">
        <v>0.15</v>
      </c>
      <c r="D115" s="615"/>
      <c r="E115" s="615"/>
      <c r="F115" s="615"/>
      <c r="G115" s="615"/>
      <c r="H115" s="617"/>
      <c r="I115" s="615"/>
    </row>
    <row r="116" spans="1:9" x14ac:dyDescent="0.25">
      <c r="A116" s="614"/>
      <c r="B116" s="615"/>
      <c r="C116" s="616"/>
      <c r="D116" s="615"/>
      <c r="E116" s="615"/>
      <c r="F116" s="615"/>
      <c r="G116" s="615"/>
      <c r="H116" s="617"/>
      <c r="I116" s="615"/>
    </row>
    <row r="117" spans="1:9" x14ac:dyDescent="0.25">
      <c r="A117" s="614"/>
      <c r="B117" s="615" t="s">
        <v>1216</v>
      </c>
      <c r="C117" s="616"/>
      <c r="D117" s="615"/>
      <c r="E117" s="615"/>
      <c r="F117" s="615"/>
      <c r="G117" s="615"/>
      <c r="H117" s="617"/>
      <c r="I117" s="615"/>
    </row>
    <row r="118" spans="1:9" x14ac:dyDescent="0.25">
      <c r="A118" s="614"/>
      <c r="B118" s="615" t="s">
        <v>847</v>
      </c>
      <c r="C118" s="616">
        <f>+C113</f>
        <v>1142189.25</v>
      </c>
      <c r="D118" s="615"/>
      <c r="E118" s="615"/>
      <c r="F118" s="615"/>
      <c r="G118" s="615"/>
      <c r="H118" s="617"/>
      <c r="I118" s="615"/>
    </row>
    <row r="119" spans="1:9" x14ac:dyDescent="0.25">
      <c r="A119" s="614"/>
      <c r="B119" s="615" t="s">
        <v>848</v>
      </c>
      <c r="C119" s="616">
        <f>-'Debt Exclusion Calc.'!G28</f>
        <v>-1068222.67</v>
      </c>
      <c r="D119" s="615"/>
      <c r="E119" s="615"/>
      <c r="F119" s="615"/>
      <c r="G119" s="615"/>
      <c r="H119" s="617"/>
      <c r="I119" s="615"/>
    </row>
    <row r="120" spans="1:9" x14ac:dyDescent="0.25">
      <c r="A120" s="614"/>
      <c r="B120" s="615" t="s">
        <v>849</v>
      </c>
      <c r="C120" s="616">
        <f>SUM(C118:C119)</f>
        <v>73966.580000000075</v>
      </c>
      <c r="D120" s="615"/>
      <c r="E120" s="615"/>
      <c r="F120" s="615"/>
      <c r="G120" s="615"/>
      <c r="H120" s="617"/>
      <c r="I120" s="615"/>
    </row>
    <row r="121" spans="1:9" ht="15.6" x14ac:dyDescent="0.3">
      <c r="A121" s="614"/>
      <c r="B121" s="615" t="s">
        <v>987</v>
      </c>
      <c r="C121" s="632">
        <f>ROUND((+C120/C20),4)</f>
        <v>3.3E-3</v>
      </c>
      <c r="D121" s="628" t="s">
        <v>887</v>
      </c>
      <c r="E121" s="634"/>
      <c r="F121" s="615"/>
      <c r="G121" s="615"/>
      <c r="H121" s="617"/>
      <c r="I121" s="615"/>
    </row>
    <row r="122" spans="1:9" x14ac:dyDescent="0.25">
      <c r="A122" s="614"/>
      <c r="B122" s="615"/>
      <c r="C122" s="616"/>
      <c r="D122" s="615"/>
      <c r="E122" s="615"/>
      <c r="F122" s="615"/>
      <c r="G122" s="615"/>
      <c r="H122" s="617"/>
      <c r="I122" s="615"/>
    </row>
    <row r="123" spans="1:9" x14ac:dyDescent="0.25">
      <c r="A123" s="614"/>
      <c r="B123" s="615" t="s">
        <v>825</v>
      </c>
      <c r="C123" s="633">
        <v>0.02</v>
      </c>
      <c r="D123" s="615"/>
      <c r="E123" s="615"/>
      <c r="F123" s="615"/>
      <c r="G123" s="615"/>
      <c r="H123" s="617"/>
      <c r="I123" s="615"/>
    </row>
    <row r="124" spans="1:9" x14ac:dyDescent="0.25">
      <c r="A124" s="620"/>
      <c r="B124" s="621" t="s">
        <v>824</v>
      </c>
      <c r="C124" s="635">
        <v>0.05</v>
      </c>
      <c r="D124" s="621"/>
      <c r="E124" s="621"/>
      <c r="F124" s="621"/>
      <c r="G124" s="621"/>
      <c r="H124" s="622"/>
      <c r="I124" s="615"/>
    </row>
    <row r="125" spans="1:9" x14ac:dyDescent="0.25">
      <c r="C125" s="608"/>
    </row>
    <row r="126" spans="1:9" x14ac:dyDescent="0.25">
      <c r="C126" s="608"/>
    </row>
    <row r="127" spans="1:9" x14ac:dyDescent="0.25">
      <c r="C127" s="608"/>
    </row>
    <row r="128" spans="1:9" x14ac:dyDescent="0.25">
      <c r="C128" s="608"/>
    </row>
    <row r="129" spans="3:3" x14ac:dyDescent="0.25">
      <c r="C129" s="608"/>
    </row>
    <row r="130" spans="3:3" x14ac:dyDescent="0.25">
      <c r="C130" s="608"/>
    </row>
    <row r="131" spans="3:3" x14ac:dyDescent="0.25">
      <c r="C131" s="608"/>
    </row>
    <row r="132" spans="3:3" x14ac:dyDescent="0.25">
      <c r="C132" s="608"/>
    </row>
    <row r="133" spans="3:3" x14ac:dyDescent="0.25">
      <c r="C133" s="608"/>
    </row>
    <row r="134" spans="3:3" x14ac:dyDescent="0.25">
      <c r="C134" s="608"/>
    </row>
    <row r="135" spans="3:3" x14ac:dyDescent="0.25">
      <c r="C135" s="608"/>
    </row>
    <row r="136" spans="3:3" x14ac:dyDescent="0.25">
      <c r="C136" s="608"/>
    </row>
    <row r="137" spans="3:3" x14ac:dyDescent="0.25">
      <c r="C137" s="608"/>
    </row>
    <row r="138" spans="3:3" x14ac:dyDescent="0.25">
      <c r="C138" s="608"/>
    </row>
    <row r="139" spans="3:3" x14ac:dyDescent="0.25">
      <c r="C139" s="608"/>
    </row>
    <row r="140" spans="3:3" x14ac:dyDescent="0.25">
      <c r="C140" s="608"/>
    </row>
    <row r="141" spans="3:3" x14ac:dyDescent="0.25">
      <c r="C141" s="608"/>
    </row>
    <row r="142" spans="3:3" x14ac:dyDescent="0.25">
      <c r="C142" s="608"/>
    </row>
    <row r="143" spans="3:3" x14ac:dyDescent="0.25">
      <c r="C143" s="608"/>
    </row>
    <row r="144" spans="3:3" x14ac:dyDescent="0.25">
      <c r="C144" s="608"/>
    </row>
    <row r="145" spans="3:3" x14ac:dyDescent="0.25">
      <c r="C145" s="608"/>
    </row>
    <row r="146" spans="3:3" x14ac:dyDescent="0.25">
      <c r="C146" s="608"/>
    </row>
    <row r="147" spans="3:3" x14ac:dyDescent="0.25">
      <c r="C147" s="608"/>
    </row>
    <row r="148" spans="3:3" x14ac:dyDescent="0.25">
      <c r="C148" s="608"/>
    </row>
    <row r="149" spans="3:3" x14ac:dyDescent="0.25">
      <c r="C149" s="608"/>
    </row>
    <row r="150" spans="3:3" x14ac:dyDescent="0.25">
      <c r="C150" s="608"/>
    </row>
    <row r="151" spans="3:3" x14ac:dyDescent="0.25">
      <c r="C151" s="608"/>
    </row>
    <row r="152" spans="3:3" x14ac:dyDescent="0.25">
      <c r="C152" s="608"/>
    </row>
    <row r="153" spans="3:3" x14ac:dyDescent="0.25">
      <c r="C153" s="608"/>
    </row>
    <row r="154" spans="3:3" x14ac:dyDescent="0.25">
      <c r="C154" s="608"/>
    </row>
    <row r="155" spans="3:3" x14ac:dyDescent="0.25">
      <c r="C155" s="608"/>
    </row>
    <row r="156" spans="3:3" x14ac:dyDescent="0.25">
      <c r="C156" s="608"/>
    </row>
    <row r="157" spans="3:3" x14ac:dyDescent="0.25">
      <c r="C157" s="608"/>
    </row>
    <row r="158" spans="3:3" x14ac:dyDescent="0.25">
      <c r="C158" s="608"/>
    </row>
    <row r="159" spans="3:3" x14ac:dyDescent="0.25">
      <c r="C159" s="608"/>
    </row>
    <row r="160" spans="3:3" x14ac:dyDescent="0.25">
      <c r="C160" s="608"/>
    </row>
    <row r="161" spans="3:3" x14ac:dyDescent="0.25">
      <c r="C161" s="608"/>
    </row>
    <row r="162" spans="3:3" x14ac:dyDescent="0.25">
      <c r="C162" s="608"/>
    </row>
    <row r="163" spans="3:3" x14ac:dyDescent="0.25">
      <c r="C163" s="608"/>
    </row>
    <row r="164" spans="3:3" x14ac:dyDescent="0.25">
      <c r="C164" s="608"/>
    </row>
    <row r="165" spans="3:3" x14ac:dyDescent="0.25">
      <c r="C165" s="608"/>
    </row>
    <row r="166" spans="3:3" x14ac:dyDescent="0.25">
      <c r="C166" s="608"/>
    </row>
    <row r="167" spans="3:3" x14ac:dyDescent="0.25">
      <c r="C167" s="608"/>
    </row>
    <row r="168" spans="3:3" x14ac:dyDescent="0.25">
      <c r="C168" s="608"/>
    </row>
    <row r="169" spans="3:3" x14ac:dyDescent="0.25">
      <c r="C169" s="608"/>
    </row>
    <row r="170" spans="3:3" x14ac:dyDescent="0.25">
      <c r="C170" s="608"/>
    </row>
    <row r="171" spans="3:3" x14ac:dyDescent="0.25">
      <c r="C171" s="608"/>
    </row>
    <row r="172" spans="3:3" x14ac:dyDescent="0.25">
      <c r="C172" s="608"/>
    </row>
    <row r="173" spans="3:3" x14ac:dyDescent="0.25">
      <c r="C173" s="608"/>
    </row>
    <row r="174" spans="3:3" x14ac:dyDescent="0.25">
      <c r="C174" s="608"/>
    </row>
    <row r="175" spans="3:3" x14ac:dyDescent="0.25">
      <c r="C175" s="608"/>
    </row>
  </sheetData>
  <hyperlinks>
    <hyperlink ref="D1" location="'Table of Contents'!A1" display="TOC" xr:uid="{00000000-0004-0000-0700-000000000000}"/>
  </hyperlinks>
  <pageMargins left="0.7" right="0.7" top="0.75" bottom="0.75" header="0.3" footer="0.3"/>
  <pageSetup scale="80" fitToHeight="2" orientation="portrait" r:id="rId1"/>
  <headerFooter>
    <oddFooter>&amp;L&amp;D &amp;T&amp;C&amp;F&amp;R&amp;A&amp;P</oddFooter>
  </headerFooter>
  <rowBreaks count="1" manualBreakCount="1">
    <brk id="60" max="7"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92D050"/>
    <pageSetUpPr fitToPage="1"/>
  </sheetPr>
  <dimension ref="A1:T185"/>
  <sheetViews>
    <sheetView topLeftCell="A4" workbookViewId="0">
      <selection activeCell="P4" sqref="P1:P1048576"/>
    </sheetView>
  </sheetViews>
  <sheetFormatPr defaultRowHeight="13.2" x14ac:dyDescent="0.25"/>
  <cols>
    <col min="1" max="1" width="9.44140625" style="885" bestFit="1" customWidth="1"/>
    <col min="2" max="2" width="36.6640625" customWidth="1"/>
    <col min="3" max="3" width="14.44140625" style="1" hidden="1" customWidth="1"/>
    <col min="4" max="10" width="14.44140625" style="114" hidden="1" customWidth="1"/>
    <col min="11" max="13" width="14.44140625" style="114" customWidth="1"/>
    <col min="14" max="14" width="14.44140625" customWidth="1"/>
    <col min="15" max="16" width="14.44140625" style="1" customWidth="1"/>
    <col min="17" max="19" width="14.44140625" customWidth="1"/>
    <col min="20" max="20" width="14.6640625" style="2" customWidth="1"/>
  </cols>
  <sheetData>
    <row r="1" spans="1:19" x14ac:dyDescent="0.25">
      <c r="A1" s="874" t="s">
        <v>1021</v>
      </c>
      <c r="B1" s="371" t="s">
        <v>1348</v>
      </c>
      <c r="P1"/>
    </row>
    <row r="2" spans="1:19" ht="13.8" x14ac:dyDescent="0.25">
      <c r="A2" s="875" t="s">
        <v>268</v>
      </c>
      <c r="B2" s="45"/>
      <c r="E2" s="141"/>
      <c r="I2" s="141" t="s">
        <v>257</v>
      </c>
      <c r="J2" s="141"/>
      <c r="K2" s="141"/>
      <c r="L2" s="141"/>
      <c r="M2" s="141"/>
      <c r="N2" s="61" t="s">
        <v>326</v>
      </c>
      <c r="P2" s="46" t="s">
        <v>507</v>
      </c>
    </row>
    <row r="3" spans="1:19" ht="13.8" thickBot="1" x14ac:dyDescent="0.3">
      <c r="A3" s="876"/>
      <c r="B3" s="4"/>
      <c r="C3" s="23"/>
      <c r="D3" s="23"/>
      <c r="E3" s="23"/>
      <c r="F3" s="23"/>
      <c r="G3" s="23"/>
      <c r="H3" s="23"/>
      <c r="I3" s="23"/>
      <c r="J3" s="23"/>
      <c r="K3" s="23"/>
      <c r="L3" s="23"/>
      <c r="M3" s="23"/>
      <c r="N3" s="4"/>
      <c r="O3" s="23"/>
      <c r="P3" s="4"/>
      <c r="S3" s="4"/>
    </row>
    <row r="4" spans="1:19" ht="13.8" thickTop="1" x14ac:dyDescent="0.25">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t="s">
        <v>910</v>
      </c>
    </row>
    <row r="5" spans="1:19" x14ac:dyDescent="0.25">
      <c r="A5" s="878"/>
      <c r="B5" s="209"/>
      <c r="C5" s="127"/>
      <c r="D5" s="87"/>
      <c r="E5" s="87"/>
      <c r="F5" s="87"/>
      <c r="G5" s="87"/>
      <c r="H5" s="113"/>
      <c r="I5" s="290"/>
      <c r="J5" s="290"/>
      <c r="K5" s="290"/>
      <c r="L5" s="290"/>
      <c r="M5" s="290"/>
      <c r="N5" s="113" t="s">
        <v>515</v>
      </c>
      <c r="O5" s="88" t="s">
        <v>7</v>
      </c>
      <c r="P5" s="203" t="s">
        <v>782</v>
      </c>
    </row>
    <row r="6" spans="1:19" x14ac:dyDescent="0.25">
      <c r="A6" s="878"/>
      <c r="B6" s="209"/>
      <c r="C6" s="127"/>
      <c r="D6" s="127"/>
      <c r="E6" s="127"/>
      <c r="F6" s="127"/>
      <c r="G6" s="127"/>
      <c r="H6" s="127"/>
      <c r="I6" s="88"/>
      <c r="J6" s="88"/>
      <c r="K6" s="88"/>
      <c r="L6" s="88"/>
      <c r="M6" s="88"/>
      <c r="N6" s="127"/>
      <c r="O6" s="88" t="s">
        <v>8</v>
      </c>
      <c r="P6" s="47" t="s">
        <v>543</v>
      </c>
    </row>
    <row r="7" spans="1:19"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44561</v>
      </c>
      <c r="O7" s="9" t="s">
        <v>9</v>
      </c>
      <c r="P7" s="9" t="s">
        <v>546</v>
      </c>
    </row>
    <row r="8" spans="1:19" ht="13.8" thickTop="1" x14ac:dyDescent="0.25">
      <c r="A8" s="908"/>
      <c r="B8" s="210"/>
      <c r="C8" s="132"/>
      <c r="D8" s="18"/>
      <c r="E8" s="18"/>
      <c r="F8" s="18"/>
      <c r="G8" s="18"/>
      <c r="H8" s="18"/>
      <c r="I8" s="19"/>
      <c r="J8" s="19"/>
      <c r="K8" s="19"/>
      <c r="L8" s="19"/>
      <c r="M8" s="19"/>
      <c r="N8" s="18"/>
      <c r="O8" s="19"/>
      <c r="P8" s="19"/>
    </row>
    <row r="9" spans="1:19" x14ac:dyDescent="0.25">
      <c r="A9" s="908">
        <v>5740</v>
      </c>
      <c r="B9" s="110" t="s">
        <v>998</v>
      </c>
      <c r="C9" s="132"/>
      <c r="D9" s="18">
        <v>0</v>
      </c>
      <c r="E9" s="18">
        <v>-3549.82</v>
      </c>
      <c r="F9" s="18">
        <v>84898.93</v>
      </c>
      <c r="G9" s="18">
        <v>87959.99</v>
      </c>
      <c r="H9" s="18">
        <v>95065.72</v>
      </c>
      <c r="I9" s="18">
        <v>85911.72</v>
      </c>
      <c r="J9" s="18">
        <v>92318.19</v>
      </c>
      <c r="K9" s="19">
        <v>96000</v>
      </c>
      <c r="L9" s="18">
        <v>108176.48</v>
      </c>
      <c r="M9" s="124">
        <v>115000</v>
      </c>
      <c r="N9" s="13">
        <v>94248.35</v>
      </c>
      <c r="O9" s="124">
        <v>119600</v>
      </c>
      <c r="P9" s="19"/>
    </row>
    <row r="10" spans="1:19" hidden="1" x14ac:dyDescent="0.25">
      <c r="A10" s="881">
        <v>5741</v>
      </c>
      <c r="B10" s="63" t="s">
        <v>379</v>
      </c>
      <c r="C10" s="130">
        <v>21364.2</v>
      </c>
      <c r="D10" s="13">
        <v>15982.01</v>
      </c>
      <c r="E10" s="13">
        <v>42461.2</v>
      </c>
      <c r="F10" s="13"/>
      <c r="G10" s="13"/>
      <c r="H10" s="13"/>
      <c r="I10" s="13"/>
      <c r="J10" s="13"/>
      <c r="K10" s="14"/>
      <c r="L10" s="13"/>
      <c r="M10" s="14"/>
      <c r="N10" s="13"/>
      <c r="O10" s="14"/>
      <c r="P10" s="14"/>
    </row>
    <row r="11" spans="1:19" hidden="1" x14ac:dyDescent="0.25">
      <c r="A11" s="881">
        <v>5742</v>
      </c>
      <c r="B11" s="63" t="s">
        <v>243</v>
      </c>
      <c r="C11" s="130">
        <v>17605.150000000001</v>
      </c>
      <c r="D11" s="13">
        <v>18724.45</v>
      </c>
      <c r="E11" s="13">
        <v>20577.13</v>
      </c>
      <c r="F11" s="13"/>
      <c r="G11" s="13"/>
      <c r="H11" s="13"/>
      <c r="I11" s="13"/>
      <c r="J11" s="13"/>
      <c r="K11" s="14"/>
      <c r="L11" s="13"/>
      <c r="M11" s="14"/>
      <c r="N11" s="13"/>
      <c r="O11" s="14"/>
      <c r="P11" s="14"/>
    </row>
    <row r="12" spans="1:19" hidden="1" x14ac:dyDescent="0.25">
      <c r="A12" s="881">
        <v>5743</v>
      </c>
      <c r="B12" s="63" t="s">
        <v>244</v>
      </c>
      <c r="C12" s="130">
        <v>1000.35</v>
      </c>
      <c r="D12" s="13">
        <v>1005.96</v>
      </c>
      <c r="E12" s="13">
        <v>1030.95</v>
      </c>
      <c r="F12" s="13"/>
      <c r="G12" s="13"/>
      <c r="H12" s="13"/>
      <c r="I12" s="13"/>
      <c r="J12" s="13"/>
      <c r="K12" s="14"/>
      <c r="L12" s="13"/>
      <c r="M12" s="14"/>
      <c r="N12" s="13"/>
      <c r="O12" s="14"/>
      <c r="P12" s="14"/>
    </row>
    <row r="13" spans="1:19" hidden="1" x14ac:dyDescent="0.25">
      <c r="A13" s="881">
        <v>5744</v>
      </c>
      <c r="B13" s="63" t="s">
        <v>764</v>
      </c>
      <c r="C13" s="130"/>
      <c r="D13" s="13">
        <v>12333.31</v>
      </c>
      <c r="E13" s="13"/>
      <c r="F13" s="13"/>
      <c r="G13" s="13"/>
      <c r="H13" s="13"/>
      <c r="I13" s="13"/>
      <c r="J13" s="13"/>
      <c r="K13" s="14"/>
      <c r="L13" s="13"/>
      <c r="M13" s="14"/>
      <c r="N13" s="13"/>
      <c r="O13" s="14"/>
      <c r="P13" s="14"/>
    </row>
    <row r="14" spans="1:19" hidden="1" x14ac:dyDescent="0.25">
      <c r="A14" s="881">
        <v>5745</v>
      </c>
      <c r="B14" s="63" t="s">
        <v>245</v>
      </c>
      <c r="C14" s="130">
        <v>10976.55</v>
      </c>
      <c r="D14" s="13">
        <v>15601.73</v>
      </c>
      <c r="E14" s="13">
        <v>9612.56</v>
      </c>
      <c r="F14" s="13"/>
      <c r="G14" s="13"/>
      <c r="H14" s="13"/>
      <c r="I14" s="13"/>
      <c r="J14" s="13"/>
      <c r="K14" s="14"/>
      <c r="L14" s="13"/>
      <c r="M14" s="14"/>
      <c r="N14" s="13"/>
      <c r="O14" s="14"/>
      <c r="P14" s="14"/>
    </row>
    <row r="15" spans="1:19" hidden="1" x14ac:dyDescent="0.25">
      <c r="A15" s="881">
        <v>5746</v>
      </c>
      <c r="B15" s="63" t="s">
        <v>246</v>
      </c>
      <c r="C15" s="130">
        <v>10922.15</v>
      </c>
      <c r="D15" s="13">
        <v>10661.36</v>
      </c>
      <c r="E15" s="13">
        <v>13409.88</v>
      </c>
      <c r="F15" s="13"/>
      <c r="G15" s="13"/>
      <c r="H15" s="13"/>
      <c r="I15" s="13"/>
      <c r="J15" s="13"/>
      <c r="K15" s="14"/>
      <c r="L15" s="13"/>
      <c r="M15" s="14"/>
      <c r="N15" s="13"/>
      <c r="O15" s="14"/>
      <c r="P15" s="14"/>
    </row>
    <row r="16" spans="1:19" hidden="1" x14ac:dyDescent="0.25">
      <c r="A16" s="881">
        <v>5747</v>
      </c>
      <c r="B16" s="63" t="s">
        <v>727</v>
      </c>
      <c r="C16" s="130">
        <v>1718.45</v>
      </c>
      <c r="D16" s="37">
        <v>1651.46</v>
      </c>
      <c r="E16" s="37">
        <v>1930</v>
      </c>
      <c r="F16" s="37"/>
      <c r="G16" s="37"/>
      <c r="H16" s="37"/>
      <c r="I16" s="37"/>
      <c r="J16" s="37"/>
      <c r="K16" s="38"/>
      <c r="L16" s="37"/>
      <c r="M16" s="38"/>
      <c r="N16" s="37"/>
      <c r="O16" s="38"/>
      <c r="P16" s="38"/>
    </row>
    <row r="17" spans="1:19" hidden="1" x14ac:dyDescent="0.25">
      <c r="A17" s="881">
        <v>5748</v>
      </c>
      <c r="B17" s="63" t="s">
        <v>48</v>
      </c>
      <c r="C17" s="130"/>
      <c r="D17" s="37"/>
      <c r="E17" s="37"/>
      <c r="F17" s="37"/>
      <c r="G17" s="37"/>
      <c r="H17" s="37"/>
      <c r="I17" s="37"/>
      <c r="J17" s="37"/>
      <c r="K17" s="38"/>
      <c r="L17" s="37"/>
      <c r="M17" s="38"/>
      <c r="N17" s="37"/>
      <c r="O17" s="38"/>
      <c r="P17" s="38"/>
    </row>
    <row r="18" spans="1:19" hidden="1" x14ac:dyDescent="0.25">
      <c r="A18" s="881">
        <v>5749</v>
      </c>
      <c r="B18" s="63" t="s">
        <v>765</v>
      </c>
      <c r="C18" s="130"/>
      <c r="D18" s="37">
        <v>5954.75</v>
      </c>
      <c r="E18" s="37">
        <v>5329.71</v>
      </c>
      <c r="F18" s="37"/>
      <c r="G18" s="37"/>
      <c r="H18" s="37"/>
      <c r="I18" s="37"/>
      <c r="J18" s="37"/>
      <c r="K18" s="38"/>
      <c r="L18" s="37"/>
      <c r="M18" s="38"/>
      <c r="N18" s="37"/>
      <c r="O18" s="38"/>
      <c r="P18" s="38"/>
    </row>
    <row r="19" spans="1:19" ht="13.8" thickBot="1" x14ac:dyDescent="0.3">
      <c r="A19" s="918"/>
      <c r="B19" s="238"/>
      <c r="C19" s="39"/>
      <c r="D19" s="15"/>
      <c r="E19" s="15"/>
      <c r="F19" s="15"/>
      <c r="G19" s="15"/>
      <c r="H19" s="15"/>
      <c r="I19" s="15"/>
      <c r="J19" s="15"/>
      <c r="K19" s="16"/>
      <c r="L19" s="15"/>
      <c r="M19" s="16"/>
      <c r="N19" s="15"/>
      <c r="O19" s="16"/>
      <c r="P19" s="16"/>
    </row>
    <row r="20" spans="1:19" x14ac:dyDescent="0.25">
      <c r="A20" s="881"/>
      <c r="B20" s="17" t="s">
        <v>449</v>
      </c>
      <c r="C20" s="18">
        <f t="shared" ref="C20:O20" si="0">SUM(C9:C19)</f>
        <v>63586.85</v>
      </c>
      <c r="D20" s="18">
        <f t="shared" si="0"/>
        <v>81915.03</v>
      </c>
      <c r="E20" s="18">
        <f t="shared" si="0"/>
        <v>90801.61</v>
      </c>
      <c r="F20" s="18">
        <f>SUM(F9:F19)</f>
        <v>84898.93</v>
      </c>
      <c r="G20" s="18">
        <f>SUM(G9:G19)</f>
        <v>87959.99</v>
      </c>
      <c r="H20" s="18">
        <f>SUM(H9:H19)</f>
        <v>95065.72</v>
      </c>
      <c r="I20" s="18">
        <f t="shared" si="0"/>
        <v>85911.72</v>
      </c>
      <c r="J20" s="18">
        <f t="shared" ref="J20" si="1">SUM(J9:J19)</f>
        <v>92318.19</v>
      </c>
      <c r="K20" s="36">
        <f t="shared" ref="K20:M20" si="2">SUM(K9:K19)</f>
        <v>96000</v>
      </c>
      <c r="L20" s="18">
        <f t="shared" si="2"/>
        <v>108176.48</v>
      </c>
      <c r="M20" s="36">
        <f t="shared" si="2"/>
        <v>115000</v>
      </c>
      <c r="N20" s="18">
        <f t="shared" si="0"/>
        <v>94248.35</v>
      </c>
      <c r="O20" s="36">
        <f t="shared" si="0"/>
        <v>119600</v>
      </c>
      <c r="P20" s="36">
        <f>+O20</f>
        <v>119600</v>
      </c>
    </row>
    <row r="21" spans="1:19" x14ac:dyDescent="0.25">
      <c r="A21" s="881"/>
      <c r="B21" s="12"/>
      <c r="C21" s="13"/>
      <c r="D21" s="13"/>
      <c r="E21" s="13"/>
      <c r="F21" s="13"/>
      <c r="G21" s="13"/>
      <c r="H21" s="13"/>
      <c r="I21" s="13"/>
      <c r="J21" s="13"/>
      <c r="K21" s="14"/>
      <c r="L21" s="13"/>
      <c r="M21" s="14"/>
      <c r="N21" s="13"/>
      <c r="O21" s="14"/>
      <c r="P21" s="14"/>
    </row>
    <row r="22" spans="1:19" ht="13.8" thickBot="1" x14ac:dyDescent="0.3">
      <c r="A22" s="882"/>
      <c r="B22" s="20" t="s">
        <v>466</v>
      </c>
      <c r="C22" s="21">
        <f t="shared" ref="C22:O22" si="3">+C20</f>
        <v>63586.85</v>
      </c>
      <c r="D22" s="21">
        <f t="shared" si="3"/>
        <v>81915.03</v>
      </c>
      <c r="E22" s="21">
        <f>+E20</f>
        <v>90801.61</v>
      </c>
      <c r="F22" s="21">
        <f>+F20</f>
        <v>84898.93</v>
      </c>
      <c r="G22" s="21">
        <f>+G20</f>
        <v>87959.99</v>
      </c>
      <c r="H22" s="21">
        <f>+H20</f>
        <v>95065.72</v>
      </c>
      <c r="I22" s="21">
        <f t="shared" si="3"/>
        <v>85911.72</v>
      </c>
      <c r="J22" s="21">
        <f t="shared" ref="J22" si="4">+J20</f>
        <v>92318.19</v>
      </c>
      <c r="K22" s="22">
        <f t="shared" ref="K22:M22" si="5">+K20</f>
        <v>96000</v>
      </c>
      <c r="L22" s="21">
        <f t="shared" si="5"/>
        <v>108176.48</v>
      </c>
      <c r="M22" s="22">
        <f t="shared" si="5"/>
        <v>115000</v>
      </c>
      <c r="N22" s="21">
        <f t="shared" si="3"/>
        <v>94248.35</v>
      </c>
      <c r="O22" s="22">
        <f t="shared" si="3"/>
        <v>119600</v>
      </c>
      <c r="P22" s="22">
        <f>+O22</f>
        <v>119600</v>
      </c>
    </row>
    <row r="23" spans="1:19" ht="13.8" thickTop="1" x14ac:dyDescent="0.25">
      <c r="A23" s="876"/>
      <c r="B23" s="4"/>
      <c r="C23" s="24"/>
      <c r="D23" s="24"/>
      <c r="E23" s="24"/>
      <c r="F23" s="24"/>
      <c r="G23" s="24"/>
      <c r="H23" s="24"/>
      <c r="I23" s="24"/>
      <c r="J23" s="24"/>
      <c r="K23" s="24"/>
      <c r="L23" s="24"/>
      <c r="M23" s="24"/>
      <c r="N23" s="25"/>
      <c r="O23" s="24"/>
      <c r="P23" s="25"/>
      <c r="R23" s="25"/>
      <c r="S23" s="25"/>
    </row>
    <row r="24" spans="1:19" x14ac:dyDescent="0.25">
      <c r="A24" s="57">
        <v>44207</v>
      </c>
      <c r="B24" s="4" t="s">
        <v>1486</v>
      </c>
      <c r="C24" s="23"/>
      <c r="D24" s="23"/>
      <c r="E24" s="23"/>
      <c r="F24" s="23"/>
      <c r="G24" s="23"/>
      <c r="H24" s="23"/>
      <c r="I24" s="23"/>
      <c r="J24" s="23"/>
      <c r="K24" s="23"/>
      <c r="L24" s="23"/>
      <c r="M24" s="23"/>
      <c r="N24" s="27"/>
      <c r="O24" s="23"/>
      <c r="P24" s="27"/>
      <c r="Q24" s="27"/>
      <c r="R24" s="27"/>
      <c r="S24" s="27"/>
    </row>
    <row r="25" spans="1:19" x14ac:dyDescent="0.25">
      <c r="A25" s="57">
        <v>44259</v>
      </c>
      <c r="B25" s="4" t="s">
        <v>1497</v>
      </c>
      <c r="C25" s="23"/>
      <c r="D25" s="23"/>
      <c r="E25" s="23"/>
      <c r="F25" s="23"/>
      <c r="G25" s="23"/>
      <c r="H25" s="23"/>
      <c r="I25" s="23"/>
      <c r="J25" s="23"/>
      <c r="K25" s="23"/>
      <c r="L25" s="23"/>
      <c r="M25" s="23"/>
      <c r="N25" s="27"/>
      <c r="O25" s="23"/>
      <c r="P25" s="27"/>
      <c r="Q25" s="27"/>
      <c r="R25" s="27"/>
      <c r="S25" s="27"/>
    </row>
    <row r="26" spans="1:19" ht="13.8" thickBot="1" x14ac:dyDescent="0.3">
      <c r="A26" s="876"/>
      <c r="B26" s="4"/>
      <c r="C26" s="24"/>
      <c r="D26" s="24"/>
      <c r="E26" s="24"/>
      <c r="F26" s="24"/>
      <c r="G26" s="24"/>
      <c r="H26" s="24"/>
      <c r="I26" s="24"/>
      <c r="J26" s="24"/>
      <c r="K26" s="24"/>
      <c r="L26" s="24"/>
      <c r="M26" s="24"/>
      <c r="N26" s="25"/>
      <c r="O26" s="24"/>
      <c r="P26" s="24"/>
      <c r="Q26" s="25"/>
      <c r="R26" s="25"/>
      <c r="S26" s="25"/>
    </row>
    <row r="27" spans="1:19" ht="13.8" thickTop="1" x14ac:dyDescent="0.25">
      <c r="A27" s="893"/>
      <c r="B27" s="452"/>
      <c r="C27" s="453" t="s">
        <v>127</v>
      </c>
      <c r="D27" s="454" t="s">
        <v>127</v>
      </c>
      <c r="E27" s="454" t="s">
        <v>127</v>
      </c>
      <c r="J27" s="455" t="s">
        <v>547</v>
      </c>
      <c r="K27" s="456" t="s">
        <v>9</v>
      </c>
      <c r="L27" s="457" t="s">
        <v>1073</v>
      </c>
      <c r="M27" s="457"/>
      <c r="N27" s="456" t="s">
        <v>686</v>
      </c>
      <c r="O27" s="458"/>
      <c r="P27" s="457"/>
      <c r="Q27" s="25"/>
      <c r="R27" s="25"/>
      <c r="S27" s="25"/>
    </row>
    <row r="28" spans="1:19" ht="13.8" thickBot="1" x14ac:dyDescent="0.3">
      <c r="A28" s="894" t="s">
        <v>128</v>
      </c>
      <c r="B28" s="459"/>
      <c r="C28" s="508" t="s">
        <v>347</v>
      </c>
      <c r="D28" s="508" t="s">
        <v>722</v>
      </c>
      <c r="E28" s="462" t="s">
        <v>737</v>
      </c>
      <c r="J28" s="462" t="s">
        <v>909</v>
      </c>
      <c r="K28" s="462" t="s">
        <v>910</v>
      </c>
      <c r="L28" s="461" t="s">
        <v>1075</v>
      </c>
      <c r="M28" s="462"/>
      <c r="N28" s="463" t="s">
        <v>1075</v>
      </c>
      <c r="O28" s="464" t="s">
        <v>1074</v>
      </c>
      <c r="P28" s="462"/>
      <c r="Q28" s="25"/>
      <c r="R28" s="25"/>
      <c r="S28" s="25"/>
    </row>
    <row r="29" spans="1:19" ht="14.4" thickTop="1" thickBot="1" x14ac:dyDescent="0.3">
      <c r="A29" s="910"/>
      <c r="B29" s="480"/>
      <c r="C29" s="468"/>
      <c r="D29" s="468"/>
      <c r="E29" s="468"/>
      <c r="J29" s="468"/>
      <c r="K29" s="468"/>
      <c r="L29" s="469"/>
      <c r="M29" s="469"/>
      <c r="N29" s="468"/>
      <c r="O29" s="469"/>
      <c r="P29" s="469"/>
      <c r="Q29" s="25"/>
      <c r="R29" s="25"/>
      <c r="S29" s="25"/>
    </row>
    <row r="30" spans="1:19" ht="13.8" thickTop="1" x14ac:dyDescent="0.25">
      <c r="A30" s="910">
        <v>5740</v>
      </c>
      <c r="B30" s="480" t="s">
        <v>998</v>
      </c>
      <c r="C30" s="468"/>
      <c r="D30" s="468">
        <v>0</v>
      </c>
      <c r="E30" s="468">
        <v>-3549.82</v>
      </c>
      <c r="J30" s="745">
        <f>+M9</f>
        <v>115000</v>
      </c>
      <c r="K30" s="496">
        <f>+O9</f>
        <v>119600</v>
      </c>
      <c r="L30" s="469">
        <f>+K30-J30</f>
        <v>4600</v>
      </c>
      <c r="M30" s="500"/>
      <c r="N30" s="477">
        <f>IF(J30+K30&lt;&gt;0,IF(J30&lt;&gt;0,IF(L30&lt;&gt;0,ROUND((+L30/J30),4),""),1),"")</f>
        <v>0.04</v>
      </c>
      <c r="O30" s="509" t="s">
        <v>1800</v>
      </c>
      <c r="P30" s="510"/>
      <c r="Q30" s="25"/>
      <c r="R30" s="25"/>
      <c r="S30" s="25"/>
    </row>
    <row r="31" spans="1:19" x14ac:dyDescent="0.25">
      <c r="A31" s="876"/>
      <c r="B31" s="4"/>
      <c r="C31" s="23"/>
      <c r="D31" s="23"/>
      <c r="E31" s="23"/>
      <c r="F31" s="23"/>
      <c r="G31" s="24"/>
      <c r="J31" s="24"/>
      <c r="K31" s="202"/>
      <c r="L31" s="202"/>
      <c r="M31" s="202"/>
      <c r="N31" s="445"/>
      <c r="O31" s="25"/>
      <c r="P31" s="25"/>
      <c r="Q31" s="27"/>
      <c r="R31" s="27"/>
      <c r="S31" s="27"/>
    </row>
    <row r="32" spans="1:19" x14ac:dyDescent="0.25">
      <c r="A32" s="876"/>
      <c r="B32" s="4" t="s">
        <v>1363</v>
      </c>
      <c r="C32" s="23"/>
      <c r="D32" s="23"/>
      <c r="E32" s="23"/>
      <c r="F32" s="23"/>
      <c r="G32" s="23"/>
      <c r="J32" s="742">
        <f>SUM(J30:J31)</f>
        <v>115000</v>
      </c>
      <c r="K32" s="742">
        <f>SUM(K30:K31)</f>
        <v>119600</v>
      </c>
      <c r="L32" s="202">
        <f>+K32-J32</f>
        <v>4600</v>
      </c>
      <c r="M32" s="202"/>
      <c r="N32" s="743">
        <f>IF(J32+K32&lt;&gt;0,IF(J32&lt;&gt;0,IF(L32&lt;&gt;0,ROUND((+L32/J32),4),""),1),"")</f>
        <v>0.04</v>
      </c>
      <c r="O32" s="25"/>
      <c r="P32" s="25"/>
      <c r="Q32" s="27"/>
      <c r="R32" s="27"/>
      <c r="S32" s="27"/>
    </row>
    <row r="33" spans="1:19" x14ac:dyDescent="0.25">
      <c r="A33" s="876"/>
      <c r="B33" s="4"/>
      <c r="C33" s="23"/>
      <c r="D33" s="23"/>
      <c r="E33" s="23"/>
      <c r="F33" s="23"/>
      <c r="G33" s="24"/>
      <c r="H33" s="24"/>
      <c r="I33" s="202"/>
      <c r="J33" s="202"/>
      <c r="K33" s="202"/>
      <c r="L33" s="202"/>
      <c r="M33" s="202"/>
      <c r="N33" s="445"/>
      <c r="O33" s="25"/>
      <c r="P33" s="25"/>
      <c r="Q33" s="27"/>
      <c r="R33" s="27"/>
      <c r="S33" s="27"/>
    </row>
    <row r="34" spans="1:19" x14ac:dyDescent="0.25">
      <c r="A34" s="876"/>
      <c r="B34" s="4"/>
      <c r="C34" s="23"/>
      <c r="D34" s="23"/>
      <c r="E34" s="23"/>
      <c r="F34" s="23"/>
      <c r="G34" s="24"/>
      <c r="H34" s="24"/>
      <c r="I34" s="24"/>
      <c r="J34" s="24"/>
      <c r="K34" s="24"/>
      <c r="L34" s="24"/>
      <c r="M34" s="24"/>
      <c r="N34" s="25"/>
      <c r="O34" s="24"/>
      <c r="P34" s="24"/>
      <c r="Q34" s="27"/>
      <c r="R34" s="27"/>
      <c r="S34" s="27"/>
    </row>
    <row r="35" spans="1:19" x14ac:dyDescent="0.25">
      <c r="A35" s="876"/>
      <c r="B35" s="4"/>
      <c r="C35" s="23"/>
      <c r="D35" s="23"/>
      <c r="E35" s="23"/>
      <c r="F35" s="23"/>
      <c r="G35" s="23"/>
      <c r="H35" s="23"/>
      <c r="I35" s="23"/>
      <c r="J35" s="23"/>
      <c r="K35" s="23"/>
      <c r="L35" s="23"/>
      <c r="M35" s="23"/>
      <c r="N35" s="27"/>
      <c r="O35" s="23"/>
      <c r="P35" s="23"/>
      <c r="Q35" s="27"/>
      <c r="R35" s="27"/>
      <c r="S35" s="27"/>
    </row>
    <row r="36" spans="1:19" x14ac:dyDescent="0.25">
      <c r="A36" s="876"/>
      <c r="B36" s="4"/>
      <c r="C36" s="23"/>
      <c r="D36" s="23"/>
      <c r="E36" s="23"/>
      <c r="F36" s="23"/>
      <c r="G36" s="23"/>
      <c r="H36" s="23"/>
      <c r="I36" s="23"/>
      <c r="J36" s="23"/>
      <c r="K36" s="23"/>
      <c r="L36" s="23"/>
      <c r="M36" s="23"/>
      <c r="N36" s="27"/>
      <c r="O36" s="23"/>
      <c r="P36" s="23"/>
      <c r="Q36" s="27"/>
      <c r="R36" s="27"/>
      <c r="S36" s="27"/>
    </row>
    <row r="37" spans="1:19" x14ac:dyDescent="0.25">
      <c r="A37" s="876"/>
      <c r="B37" s="4"/>
      <c r="C37" s="23"/>
      <c r="D37" s="23"/>
      <c r="E37" s="23"/>
      <c r="F37" s="23"/>
      <c r="G37" s="23"/>
      <c r="H37" s="23"/>
      <c r="I37" s="23"/>
      <c r="J37" s="23"/>
      <c r="K37" s="23"/>
      <c r="L37" s="23"/>
      <c r="M37" s="23"/>
      <c r="N37" s="27"/>
      <c r="O37" s="23"/>
      <c r="P37" s="23"/>
      <c r="Q37" s="27"/>
      <c r="R37" s="27"/>
      <c r="S37" s="27"/>
    </row>
    <row r="38" spans="1:19" x14ac:dyDescent="0.25">
      <c r="A38" s="876"/>
      <c r="B38" s="4"/>
      <c r="C38" s="23"/>
      <c r="D38" s="23"/>
      <c r="E38" s="23"/>
      <c r="F38" s="23"/>
      <c r="G38" s="23"/>
      <c r="H38" s="23"/>
      <c r="I38" s="23"/>
      <c r="J38" s="23"/>
      <c r="K38" s="23"/>
      <c r="L38" s="23"/>
      <c r="M38" s="23"/>
      <c r="N38" s="27"/>
      <c r="O38" s="23"/>
      <c r="P38" s="23"/>
      <c r="Q38" s="27"/>
      <c r="R38" s="27"/>
      <c r="S38" s="27"/>
    </row>
    <row r="39" spans="1:19" x14ac:dyDescent="0.25">
      <c r="A39" s="876"/>
      <c r="B39" s="4"/>
      <c r="C39" s="23"/>
      <c r="D39" s="23"/>
      <c r="E39" s="23"/>
      <c r="F39" s="23"/>
      <c r="G39" s="23"/>
      <c r="H39" s="23"/>
      <c r="I39" s="23"/>
      <c r="J39" s="23"/>
      <c r="K39" s="23"/>
      <c r="L39" s="23"/>
      <c r="M39" s="23"/>
      <c r="N39" s="27"/>
      <c r="O39" s="23"/>
      <c r="P39" s="23"/>
      <c r="Q39" s="27"/>
      <c r="R39" s="27"/>
      <c r="S39" s="27"/>
    </row>
    <row r="40" spans="1:19" x14ac:dyDescent="0.25">
      <c r="A40" s="876"/>
      <c r="B40" s="4"/>
      <c r="C40" s="23"/>
      <c r="D40" s="23"/>
      <c r="E40" s="23"/>
      <c r="F40" s="23"/>
      <c r="G40" s="23"/>
      <c r="H40" s="23"/>
      <c r="I40" s="23"/>
      <c r="J40" s="23"/>
      <c r="K40" s="23"/>
      <c r="L40" s="23"/>
      <c r="M40" s="23"/>
      <c r="N40" s="27"/>
      <c r="O40" s="23"/>
      <c r="P40" s="23"/>
      <c r="Q40" s="27"/>
      <c r="R40" s="27"/>
      <c r="S40" s="27"/>
    </row>
    <row r="41" spans="1:19" x14ac:dyDescent="0.25">
      <c r="A41" s="876"/>
      <c r="B41" s="4"/>
      <c r="C41" s="23"/>
      <c r="D41" s="23"/>
      <c r="E41" s="23"/>
      <c r="F41" s="23"/>
      <c r="G41" s="23"/>
      <c r="H41" s="23"/>
      <c r="I41" s="23"/>
      <c r="J41" s="23"/>
      <c r="K41" s="23"/>
      <c r="L41" s="23"/>
      <c r="M41" s="23"/>
      <c r="N41" s="27"/>
      <c r="O41" s="23"/>
      <c r="P41" s="23"/>
      <c r="Q41" s="27"/>
      <c r="R41" s="27"/>
      <c r="S41" s="27"/>
    </row>
    <row r="42" spans="1:19" x14ac:dyDescent="0.25">
      <c r="A42" s="876"/>
      <c r="B42" s="4"/>
      <c r="C42" s="23"/>
      <c r="D42" s="23"/>
      <c r="E42" s="23"/>
      <c r="F42" s="23"/>
      <c r="G42" s="23"/>
      <c r="H42" s="23"/>
      <c r="I42" s="23"/>
      <c r="J42" s="23"/>
      <c r="K42" s="23"/>
      <c r="L42" s="23"/>
      <c r="M42" s="23"/>
      <c r="N42" s="27"/>
      <c r="O42" s="23"/>
      <c r="P42" s="23"/>
      <c r="Q42" s="27"/>
      <c r="R42" s="27"/>
      <c r="S42" s="27"/>
    </row>
    <row r="43" spans="1:19" x14ac:dyDescent="0.25">
      <c r="A43" s="876"/>
      <c r="B43" s="4"/>
      <c r="C43" s="23"/>
      <c r="D43" s="23"/>
      <c r="E43" s="23"/>
      <c r="F43" s="23"/>
      <c r="G43" s="23"/>
      <c r="H43" s="23"/>
      <c r="I43" s="23"/>
      <c r="J43" s="23"/>
      <c r="K43" s="23"/>
      <c r="L43" s="23"/>
      <c r="M43" s="23"/>
      <c r="N43" s="27"/>
      <c r="O43" s="23"/>
      <c r="P43" s="23"/>
      <c r="Q43" s="27"/>
      <c r="R43" s="27"/>
      <c r="S43" s="27"/>
    </row>
    <row r="44" spans="1:19" x14ac:dyDescent="0.25">
      <c r="A44" s="876"/>
      <c r="B44" s="4"/>
      <c r="C44" s="23"/>
      <c r="D44" s="23"/>
      <c r="E44" s="23"/>
      <c r="F44" s="23"/>
      <c r="G44" s="23"/>
      <c r="H44" s="23"/>
      <c r="I44" s="23"/>
      <c r="J44" s="23"/>
      <c r="K44" s="23"/>
      <c r="L44" s="23"/>
      <c r="M44" s="23"/>
      <c r="N44" s="27"/>
      <c r="O44" s="23"/>
      <c r="P44" s="23"/>
      <c r="Q44" s="27"/>
      <c r="R44" s="27"/>
      <c r="S44" s="27"/>
    </row>
    <row r="45" spans="1:19" x14ac:dyDescent="0.25">
      <c r="A45" s="876"/>
      <c r="B45" s="4"/>
      <c r="C45" s="23"/>
      <c r="D45" s="23"/>
      <c r="E45" s="23"/>
      <c r="F45" s="23"/>
      <c r="G45" s="23"/>
      <c r="H45" s="23"/>
      <c r="I45" s="23"/>
      <c r="J45" s="23"/>
      <c r="K45" s="23"/>
      <c r="L45" s="23"/>
      <c r="M45" s="23"/>
      <c r="N45" s="27"/>
      <c r="O45" s="23"/>
      <c r="P45" s="23"/>
      <c r="Q45" s="27"/>
      <c r="R45" s="27"/>
      <c r="S45" s="27"/>
    </row>
    <row r="46" spans="1:19" x14ac:dyDescent="0.25">
      <c r="A46" s="876"/>
      <c r="B46" s="4"/>
      <c r="C46" s="23"/>
      <c r="D46" s="23"/>
      <c r="E46" s="23"/>
      <c r="F46" s="23"/>
      <c r="G46" s="23"/>
      <c r="H46" s="23"/>
      <c r="I46" s="23"/>
      <c r="J46" s="23"/>
      <c r="K46" s="23"/>
      <c r="L46" s="23"/>
      <c r="M46" s="23"/>
      <c r="N46" s="27"/>
      <c r="O46" s="23"/>
      <c r="P46" s="23"/>
      <c r="Q46" s="27"/>
      <c r="R46" s="27"/>
      <c r="S46" s="27"/>
    </row>
    <row r="47" spans="1:19" x14ac:dyDescent="0.25">
      <c r="A47" s="876"/>
      <c r="B47" s="4"/>
      <c r="C47" s="23"/>
      <c r="D47" s="23"/>
      <c r="E47" s="23"/>
      <c r="F47" s="23"/>
      <c r="G47" s="23"/>
      <c r="H47" s="23"/>
      <c r="I47" s="23"/>
      <c r="J47" s="23"/>
      <c r="K47" s="23"/>
      <c r="L47" s="23"/>
      <c r="M47" s="23"/>
      <c r="N47" s="27"/>
      <c r="O47" s="23"/>
      <c r="P47" s="23"/>
      <c r="Q47" s="27"/>
      <c r="R47" s="27"/>
      <c r="S47" s="27"/>
    </row>
    <row r="48" spans="1:19" x14ac:dyDescent="0.25">
      <c r="A48" s="876"/>
      <c r="B48" s="4"/>
      <c r="C48" s="23"/>
      <c r="D48" s="23"/>
      <c r="E48" s="23"/>
      <c r="F48" s="23"/>
      <c r="G48" s="23"/>
      <c r="H48" s="23"/>
      <c r="I48" s="23"/>
      <c r="J48" s="23"/>
      <c r="K48" s="23"/>
      <c r="L48" s="23"/>
      <c r="M48" s="23"/>
      <c r="N48" s="27"/>
      <c r="O48" s="23"/>
      <c r="P48" s="23"/>
      <c r="Q48" s="27"/>
      <c r="R48" s="27"/>
      <c r="S48" s="27"/>
    </row>
    <row r="49" spans="1:19" x14ac:dyDescent="0.25">
      <c r="A49" s="876"/>
      <c r="B49" s="4"/>
      <c r="C49" s="23"/>
      <c r="D49" s="23"/>
      <c r="E49" s="23"/>
      <c r="F49" s="23"/>
      <c r="G49" s="23"/>
      <c r="H49" s="23"/>
      <c r="I49" s="23"/>
      <c r="J49" s="23"/>
      <c r="K49" s="23"/>
      <c r="L49" s="23"/>
      <c r="M49" s="23"/>
      <c r="N49" s="27"/>
      <c r="O49" s="23"/>
      <c r="P49" s="23"/>
      <c r="Q49" s="27"/>
      <c r="R49" s="27"/>
      <c r="S49" s="27"/>
    </row>
    <row r="50" spans="1:19" x14ac:dyDescent="0.25">
      <c r="A50" s="876"/>
      <c r="B50" s="4"/>
      <c r="C50" s="23"/>
      <c r="D50" s="23"/>
      <c r="E50" s="23"/>
      <c r="F50" s="23"/>
      <c r="G50" s="23"/>
      <c r="H50" s="23"/>
      <c r="I50" s="23"/>
      <c r="J50" s="23"/>
      <c r="K50" s="23"/>
      <c r="L50" s="23"/>
      <c r="M50" s="23"/>
      <c r="N50" s="27"/>
      <c r="O50" s="23"/>
      <c r="P50" s="23"/>
      <c r="Q50" s="27"/>
      <c r="R50" s="27"/>
      <c r="S50" s="27"/>
    </row>
    <row r="51" spans="1:19" x14ac:dyDescent="0.25">
      <c r="A51" s="876"/>
      <c r="B51" s="4"/>
      <c r="C51" s="23"/>
      <c r="D51" s="23"/>
      <c r="E51" s="23"/>
      <c r="F51" s="23"/>
      <c r="G51" s="23"/>
      <c r="H51" s="23"/>
      <c r="I51" s="23"/>
      <c r="J51" s="23"/>
      <c r="K51" s="23"/>
      <c r="L51" s="23"/>
      <c r="M51" s="23"/>
      <c r="N51" s="27"/>
      <c r="O51" s="23"/>
      <c r="P51" s="23"/>
      <c r="Q51" s="27"/>
      <c r="R51" s="27"/>
      <c r="S51" s="27"/>
    </row>
    <row r="52" spans="1:19" x14ac:dyDescent="0.25">
      <c r="A52" s="876"/>
      <c r="B52" s="4"/>
      <c r="C52" s="23"/>
      <c r="D52" s="23"/>
      <c r="E52" s="23"/>
      <c r="F52" s="23"/>
      <c r="G52" s="23"/>
      <c r="H52" s="23"/>
      <c r="I52" s="23"/>
      <c r="J52" s="23"/>
      <c r="K52" s="23"/>
      <c r="L52" s="23"/>
      <c r="M52" s="23"/>
      <c r="N52" s="27"/>
      <c r="O52" s="23"/>
      <c r="P52" s="23"/>
      <c r="Q52" s="27"/>
      <c r="R52" s="27"/>
      <c r="S52" s="27"/>
    </row>
    <row r="53" spans="1:19" x14ac:dyDescent="0.25">
      <c r="A53" s="876"/>
      <c r="B53" s="4"/>
      <c r="C53" s="23"/>
      <c r="D53" s="23"/>
      <c r="E53" s="23"/>
      <c r="F53" s="23"/>
      <c r="G53" s="23"/>
      <c r="H53" s="23"/>
      <c r="I53" s="23"/>
      <c r="J53" s="23"/>
      <c r="K53" s="23"/>
      <c r="L53" s="23"/>
      <c r="M53" s="23"/>
      <c r="N53" s="27"/>
      <c r="O53" s="23"/>
      <c r="P53" s="23"/>
      <c r="Q53" s="27"/>
      <c r="R53" s="27"/>
      <c r="S53" s="27"/>
    </row>
    <row r="54" spans="1:19" x14ac:dyDescent="0.25">
      <c r="A54" s="876"/>
      <c r="B54" s="4"/>
      <c r="C54" s="23"/>
      <c r="D54" s="23"/>
      <c r="E54" s="23"/>
      <c r="F54" s="23"/>
      <c r="G54" s="23"/>
      <c r="H54" s="23"/>
      <c r="I54" s="23"/>
      <c r="J54" s="23"/>
      <c r="K54" s="23"/>
      <c r="L54" s="23"/>
      <c r="M54" s="23"/>
      <c r="N54" s="27"/>
      <c r="O54" s="23"/>
      <c r="P54" s="23"/>
      <c r="Q54" s="27"/>
      <c r="R54" s="27"/>
      <c r="S54" s="27"/>
    </row>
    <row r="55" spans="1:19" x14ac:dyDescent="0.25">
      <c r="A55" s="876"/>
      <c r="B55" s="4"/>
      <c r="C55" s="23"/>
      <c r="D55" s="23"/>
      <c r="E55" s="23"/>
      <c r="F55" s="23"/>
      <c r="G55" s="23"/>
      <c r="H55" s="23"/>
      <c r="I55" s="23"/>
      <c r="J55" s="23"/>
      <c r="K55" s="23"/>
      <c r="L55" s="23"/>
      <c r="M55" s="23"/>
      <c r="N55" s="27"/>
      <c r="O55" s="23"/>
      <c r="P55" s="23"/>
      <c r="Q55" s="27"/>
      <c r="R55" s="27"/>
      <c r="S55" s="27"/>
    </row>
    <row r="56" spans="1:19" x14ac:dyDescent="0.25">
      <c r="A56" s="876"/>
      <c r="B56" s="4"/>
      <c r="C56" s="23"/>
      <c r="D56" s="23"/>
      <c r="E56" s="23"/>
      <c r="F56" s="23"/>
      <c r="G56" s="23"/>
      <c r="H56" s="23"/>
      <c r="I56" s="23"/>
      <c r="J56" s="23"/>
      <c r="K56" s="23"/>
      <c r="L56" s="23"/>
      <c r="M56" s="23"/>
      <c r="N56" s="27"/>
      <c r="O56" s="23"/>
      <c r="P56" s="23"/>
      <c r="Q56" s="27"/>
      <c r="R56" s="27"/>
      <c r="S56" s="27"/>
    </row>
    <row r="57" spans="1:19" x14ac:dyDescent="0.25">
      <c r="A57" s="876"/>
      <c r="B57" s="4"/>
      <c r="C57" s="23"/>
      <c r="D57" s="23"/>
      <c r="E57" s="23"/>
      <c r="F57" s="23"/>
      <c r="G57" s="23"/>
      <c r="H57" s="23"/>
      <c r="I57" s="23"/>
      <c r="J57" s="23"/>
      <c r="K57" s="23"/>
      <c r="L57" s="23"/>
      <c r="M57" s="23"/>
      <c r="N57" s="27"/>
      <c r="O57" s="23"/>
      <c r="P57" s="23"/>
      <c r="Q57" s="27"/>
      <c r="R57" s="27"/>
      <c r="S57" s="27"/>
    </row>
    <row r="58" spans="1:19" x14ac:dyDescent="0.25">
      <c r="A58" s="876"/>
      <c r="B58" s="4"/>
      <c r="C58" s="23"/>
      <c r="D58" s="23"/>
      <c r="E58" s="23"/>
      <c r="F58" s="23"/>
      <c r="G58" s="23"/>
      <c r="H58" s="23"/>
      <c r="I58" s="23"/>
      <c r="J58" s="23"/>
      <c r="K58" s="23"/>
      <c r="L58" s="23"/>
      <c r="M58" s="23"/>
      <c r="N58" s="27"/>
      <c r="O58" s="23"/>
      <c r="P58" s="23"/>
      <c r="Q58" s="27"/>
      <c r="R58" s="27"/>
      <c r="S58" s="27"/>
    </row>
    <row r="59" spans="1:19" x14ac:dyDescent="0.25">
      <c r="A59" s="876"/>
      <c r="B59" s="4"/>
      <c r="C59" s="23"/>
      <c r="D59" s="23"/>
      <c r="E59" s="23"/>
      <c r="F59" s="23"/>
      <c r="G59" s="23"/>
      <c r="H59" s="23"/>
      <c r="I59" s="23"/>
      <c r="J59" s="23"/>
      <c r="K59" s="23"/>
      <c r="L59" s="23"/>
      <c r="M59" s="23"/>
      <c r="N59" s="27"/>
      <c r="O59" s="23"/>
      <c r="P59" s="23"/>
      <c r="Q59" s="27"/>
      <c r="R59" s="27"/>
      <c r="S59" s="27"/>
    </row>
    <row r="60" spans="1:19" x14ac:dyDescent="0.25">
      <c r="A60" s="876"/>
      <c r="B60" s="4"/>
      <c r="C60" s="23"/>
      <c r="D60" s="23"/>
      <c r="E60" s="23"/>
      <c r="F60" s="23"/>
      <c r="G60" s="23"/>
      <c r="H60" s="23"/>
      <c r="I60" s="23"/>
      <c r="J60" s="23"/>
      <c r="K60" s="23"/>
      <c r="L60" s="23"/>
      <c r="M60" s="23"/>
      <c r="N60" s="27"/>
      <c r="O60" s="23"/>
      <c r="P60" s="23"/>
      <c r="Q60" s="27"/>
      <c r="R60" s="27"/>
      <c r="S60" s="27"/>
    </row>
    <row r="61" spans="1:19" x14ac:dyDescent="0.25">
      <c r="A61" s="876"/>
      <c r="B61" s="4"/>
      <c r="C61" s="23"/>
      <c r="D61" s="23"/>
      <c r="E61" s="23"/>
      <c r="F61" s="23"/>
      <c r="G61" s="23"/>
      <c r="H61" s="23"/>
      <c r="I61" s="23"/>
      <c r="J61" s="23"/>
      <c r="K61" s="23"/>
      <c r="L61" s="23"/>
      <c r="M61" s="23"/>
      <c r="N61" s="27"/>
      <c r="O61" s="23"/>
      <c r="P61" s="23"/>
      <c r="Q61" s="27"/>
      <c r="R61" s="27"/>
      <c r="S61" s="27"/>
    </row>
    <row r="62" spans="1:19" x14ac:dyDescent="0.25">
      <c r="A62" s="876"/>
      <c r="B62" s="4"/>
      <c r="C62" s="23"/>
      <c r="D62" s="23"/>
      <c r="E62" s="23"/>
      <c r="F62" s="23"/>
      <c r="G62" s="23"/>
      <c r="H62" s="23"/>
      <c r="I62" s="23"/>
      <c r="J62" s="23"/>
      <c r="K62" s="23"/>
      <c r="L62" s="23"/>
      <c r="M62" s="23"/>
      <c r="N62" s="27"/>
      <c r="O62" s="23"/>
      <c r="P62" s="23"/>
      <c r="Q62" s="27"/>
      <c r="R62" s="27"/>
      <c r="S62" s="27"/>
    </row>
    <row r="63" spans="1:19" x14ac:dyDescent="0.25">
      <c r="A63" s="876"/>
      <c r="B63" s="4"/>
      <c r="C63" s="23"/>
      <c r="D63" s="23"/>
      <c r="E63" s="23"/>
      <c r="F63" s="23"/>
      <c r="G63" s="23"/>
      <c r="H63" s="23"/>
      <c r="I63" s="23"/>
      <c r="J63" s="23"/>
      <c r="K63" s="23"/>
      <c r="L63" s="23"/>
      <c r="M63" s="23"/>
      <c r="N63" s="27"/>
      <c r="O63" s="23"/>
      <c r="P63" s="23"/>
      <c r="Q63" s="27"/>
      <c r="R63" s="27"/>
      <c r="S63" s="27"/>
    </row>
    <row r="64" spans="1:19" x14ac:dyDescent="0.25">
      <c r="A64" s="876"/>
      <c r="B64" s="4"/>
      <c r="C64" s="23"/>
      <c r="D64" s="23"/>
      <c r="E64" s="23"/>
      <c r="F64" s="23"/>
      <c r="G64" s="23"/>
      <c r="H64" s="23"/>
      <c r="I64" s="23"/>
      <c r="J64" s="23"/>
      <c r="K64" s="23"/>
      <c r="L64" s="23"/>
      <c r="M64" s="23"/>
      <c r="N64" s="27"/>
      <c r="O64" s="23"/>
      <c r="P64" s="23"/>
      <c r="Q64" s="27"/>
      <c r="R64" s="27"/>
      <c r="S64" s="27"/>
    </row>
    <row r="65" spans="1:19" x14ac:dyDescent="0.25">
      <c r="A65" s="876"/>
      <c r="B65" s="4"/>
      <c r="C65" s="23"/>
      <c r="D65" s="23"/>
      <c r="E65" s="23"/>
      <c r="F65" s="23"/>
      <c r="G65" s="23"/>
      <c r="H65" s="23"/>
      <c r="I65" s="23"/>
      <c r="J65" s="23"/>
      <c r="K65" s="23"/>
      <c r="L65" s="23"/>
      <c r="M65" s="23"/>
      <c r="N65" s="27"/>
      <c r="O65" s="23"/>
      <c r="P65" s="23"/>
      <c r="Q65" s="27"/>
      <c r="R65" s="27"/>
      <c r="S65" s="27"/>
    </row>
    <row r="66" spans="1:19" x14ac:dyDescent="0.25">
      <c r="A66" s="876"/>
      <c r="B66" s="4"/>
      <c r="C66" s="23"/>
      <c r="D66" s="23"/>
      <c r="E66" s="23"/>
      <c r="F66" s="23"/>
      <c r="G66" s="23"/>
      <c r="H66" s="23"/>
      <c r="I66" s="23"/>
      <c r="J66" s="23"/>
      <c r="K66" s="23"/>
      <c r="L66" s="23"/>
      <c r="M66" s="23"/>
      <c r="N66" s="27"/>
      <c r="O66" s="23"/>
      <c r="P66" s="23"/>
      <c r="Q66" s="27"/>
      <c r="R66" s="27"/>
      <c r="S66" s="27"/>
    </row>
    <row r="67" spans="1:19" x14ac:dyDescent="0.25">
      <c r="A67" s="876"/>
      <c r="B67" s="4"/>
      <c r="C67" s="23"/>
      <c r="D67" s="23"/>
      <c r="E67" s="23"/>
      <c r="F67" s="23"/>
      <c r="G67" s="23"/>
      <c r="H67" s="23"/>
      <c r="I67" s="23"/>
      <c r="J67" s="23"/>
      <c r="K67" s="23"/>
      <c r="L67" s="23"/>
      <c r="M67" s="23"/>
      <c r="N67" s="27"/>
      <c r="O67" s="23"/>
      <c r="P67" s="23"/>
      <c r="Q67" s="27"/>
      <c r="R67" s="27"/>
      <c r="S67" s="27"/>
    </row>
    <row r="68" spans="1:19" x14ac:dyDescent="0.25">
      <c r="A68" s="876"/>
      <c r="B68" s="4"/>
      <c r="C68" s="23"/>
      <c r="D68" s="23"/>
      <c r="E68" s="23"/>
      <c r="F68" s="23"/>
      <c r="G68" s="23"/>
      <c r="H68" s="23"/>
      <c r="I68" s="23"/>
      <c r="J68" s="23"/>
      <c r="K68" s="23"/>
      <c r="L68" s="23"/>
      <c r="M68" s="23"/>
      <c r="N68" s="27"/>
      <c r="O68" s="23"/>
      <c r="P68" s="23"/>
      <c r="Q68" s="27"/>
      <c r="R68" s="27"/>
      <c r="S68" s="27"/>
    </row>
    <row r="69" spans="1:19" x14ac:dyDescent="0.25">
      <c r="A69" s="876"/>
      <c r="B69" s="4"/>
      <c r="C69" s="23"/>
      <c r="D69" s="23"/>
      <c r="E69" s="23"/>
      <c r="F69" s="23"/>
      <c r="G69" s="23"/>
      <c r="H69" s="23"/>
      <c r="I69" s="23"/>
      <c r="J69" s="23"/>
      <c r="K69" s="23"/>
      <c r="L69" s="23"/>
      <c r="M69" s="23"/>
      <c r="N69" s="27"/>
      <c r="O69" s="23"/>
      <c r="P69" s="23"/>
      <c r="Q69" s="27"/>
      <c r="R69" s="27"/>
      <c r="S69" s="27"/>
    </row>
    <row r="70" spans="1:19" x14ac:dyDescent="0.25">
      <c r="A70" s="876"/>
      <c r="B70" s="4"/>
      <c r="C70" s="23"/>
      <c r="D70" s="23"/>
      <c r="E70" s="23"/>
      <c r="F70" s="23"/>
      <c r="G70" s="23"/>
      <c r="H70" s="23"/>
      <c r="I70" s="23"/>
      <c r="J70" s="23"/>
      <c r="K70" s="23"/>
      <c r="L70" s="23"/>
      <c r="M70" s="23"/>
      <c r="N70" s="27"/>
      <c r="O70" s="23"/>
      <c r="P70" s="23"/>
      <c r="Q70" s="27"/>
      <c r="R70" s="27"/>
      <c r="S70" s="27"/>
    </row>
    <row r="71" spans="1:19" x14ac:dyDescent="0.25">
      <c r="A71" s="876"/>
      <c r="B71" s="4"/>
      <c r="C71" s="23"/>
      <c r="D71" s="23"/>
      <c r="E71" s="23"/>
      <c r="F71" s="23"/>
      <c r="G71" s="23"/>
      <c r="H71" s="23"/>
      <c r="I71" s="23"/>
      <c r="J71" s="23"/>
      <c r="K71" s="23"/>
      <c r="L71" s="23"/>
      <c r="M71" s="23"/>
      <c r="N71" s="27"/>
      <c r="O71" s="23"/>
      <c r="P71" s="23"/>
      <c r="Q71" s="27"/>
      <c r="R71" s="27"/>
      <c r="S71" s="27"/>
    </row>
    <row r="72" spans="1:19" x14ac:dyDescent="0.25">
      <c r="A72" s="876"/>
      <c r="B72" s="4"/>
      <c r="C72" s="23"/>
      <c r="D72" s="23"/>
      <c r="E72" s="23"/>
      <c r="F72" s="23"/>
      <c r="G72" s="23"/>
      <c r="H72" s="23"/>
      <c r="I72" s="23"/>
      <c r="J72" s="23"/>
      <c r="K72" s="23"/>
      <c r="L72" s="23"/>
      <c r="M72" s="23"/>
      <c r="N72" s="27"/>
      <c r="O72" s="23"/>
      <c r="P72" s="23"/>
      <c r="Q72" s="27"/>
      <c r="R72" s="27"/>
      <c r="S72" s="27"/>
    </row>
    <row r="73" spans="1:19" x14ac:dyDescent="0.25">
      <c r="A73" s="876"/>
      <c r="B73" s="4"/>
      <c r="C73" s="23"/>
      <c r="D73" s="23"/>
      <c r="E73" s="23"/>
      <c r="F73" s="23"/>
      <c r="G73" s="23"/>
      <c r="H73" s="23"/>
      <c r="I73" s="23"/>
      <c r="J73" s="23"/>
      <c r="K73" s="23"/>
      <c r="L73" s="23"/>
      <c r="M73" s="23"/>
      <c r="N73" s="27"/>
      <c r="O73" s="23"/>
      <c r="P73" s="23"/>
      <c r="Q73" s="27"/>
      <c r="R73" s="27"/>
      <c r="S73" s="27"/>
    </row>
    <row r="74" spans="1:19" x14ac:dyDescent="0.25">
      <c r="A74" s="876"/>
      <c r="B74" s="4"/>
      <c r="C74" s="23"/>
      <c r="D74" s="23"/>
      <c r="E74" s="23"/>
      <c r="F74" s="23"/>
      <c r="G74" s="23"/>
      <c r="H74" s="23"/>
      <c r="I74" s="23"/>
      <c r="J74" s="23"/>
      <c r="K74" s="23"/>
      <c r="L74" s="23"/>
      <c r="M74" s="23"/>
      <c r="N74" s="27"/>
      <c r="O74" s="23"/>
      <c r="P74" s="23"/>
      <c r="Q74" s="27"/>
      <c r="R74" s="27"/>
      <c r="S74" s="27"/>
    </row>
    <row r="75" spans="1:19" x14ac:dyDescent="0.25">
      <c r="A75" s="876"/>
      <c r="B75" s="4"/>
      <c r="C75" s="23"/>
      <c r="D75" s="23"/>
      <c r="E75" s="23"/>
      <c r="F75" s="23"/>
      <c r="G75" s="23"/>
      <c r="H75" s="23"/>
      <c r="I75" s="23"/>
      <c r="J75" s="23"/>
      <c r="K75" s="23"/>
      <c r="L75" s="23"/>
      <c r="M75" s="23"/>
      <c r="N75" s="4"/>
      <c r="O75" s="23"/>
      <c r="P75" s="23"/>
      <c r="Q75" s="4"/>
      <c r="R75" s="4"/>
      <c r="S75" s="4"/>
    </row>
    <row r="76" spans="1:19" x14ac:dyDescent="0.25">
      <c r="A76" s="876"/>
      <c r="B76" s="4"/>
      <c r="C76" s="23"/>
      <c r="D76" s="23"/>
      <c r="E76" s="23"/>
      <c r="F76" s="23"/>
      <c r="G76" s="23"/>
      <c r="H76" s="23"/>
      <c r="I76" s="23"/>
      <c r="J76" s="23"/>
      <c r="K76" s="23"/>
      <c r="L76" s="23"/>
      <c r="M76" s="23"/>
      <c r="N76" s="4"/>
      <c r="O76" s="23"/>
      <c r="P76" s="23"/>
      <c r="Q76" s="4"/>
      <c r="R76" s="4"/>
      <c r="S76" s="4"/>
    </row>
    <row r="77" spans="1:19" x14ac:dyDescent="0.25">
      <c r="A77" s="876"/>
      <c r="B77" s="4"/>
      <c r="C77" s="23"/>
      <c r="D77" s="23"/>
      <c r="E77" s="23"/>
      <c r="F77" s="23"/>
      <c r="G77" s="23"/>
      <c r="H77" s="23"/>
      <c r="I77" s="23"/>
      <c r="J77" s="23"/>
      <c r="K77" s="23"/>
      <c r="L77" s="23"/>
      <c r="M77" s="23"/>
      <c r="N77" s="4"/>
      <c r="O77" s="23"/>
      <c r="P77" s="23"/>
      <c r="Q77" s="4"/>
      <c r="R77" s="4"/>
      <c r="S77" s="4"/>
    </row>
    <row r="78" spans="1:19" x14ac:dyDescent="0.25">
      <c r="A78" s="876"/>
      <c r="B78" s="4"/>
      <c r="C78" s="23"/>
      <c r="D78" s="23"/>
      <c r="E78" s="23"/>
      <c r="F78" s="23"/>
      <c r="G78" s="23"/>
      <c r="H78" s="23"/>
      <c r="I78" s="23"/>
      <c r="J78" s="23"/>
      <c r="K78" s="23"/>
      <c r="L78" s="23"/>
      <c r="M78" s="23"/>
      <c r="N78" s="4"/>
      <c r="O78" s="23"/>
      <c r="P78" s="23"/>
      <c r="Q78" s="4"/>
      <c r="R78" s="4"/>
      <c r="S78" s="4"/>
    </row>
    <row r="79" spans="1:19" x14ac:dyDescent="0.25">
      <c r="A79" s="876"/>
      <c r="B79" s="4"/>
      <c r="C79" s="23"/>
      <c r="D79" s="23"/>
      <c r="E79" s="23"/>
      <c r="F79" s="23"/>
      <c r="G79" s="23"/>
      <c r="H79" s="23"/>
      <c r="I79" s="23"/>
      <c r="J79" s="23"/>
      <c r="K79" s="23"/>
      <c r="L79" s="23"/>
      <c r="M79" s="23"/>
      <c r="N79" s="4"/>
      <c r="O79" s="23"/>
      <c r="P79" s="23"/>
      <c r="Q79" s="4"/>
      <c r="R79" s="4"/>
      <c r="S79" s="4"/>
    </row>
    <row r="80" spans="1:19" x14ac:dyDescent="0.25">
      <c r="A80" s="876"/>
      <c r="B80" s="4"/>
      <c r="C80" s="23"/>
      <c r="D80" s="23"/>
      <c r="E80" s="23"/>
      <c r="F80" s="23"/>
      <c r="G80" s="23"/>
      <c r="H80" s="23"/>
      <c r="I80" s="23"/>
      <c r="J80" s="23"/>
      <c r="K80" s="23"/>
      <c r="L80" s="23"/>
      <c r="M80" s="23"/>
      <c r="N80" s="4"/>
      <c r="O80" s="23"/>
      <c r="P80" s="23"/>
      <c r="Q80" s="4"/>
      <c r="R80" s="4"/>
      <c r="S80" s="4"/>
    </row>
    <row r="81" spans="1:19" x14ac:dyDescent="0.25">
      <c r="A81" s="876"/>
      <c r="B81" s="4"/>
      <c r="C81" s="23"/>
      <c r="D81" s="23"/>
      <c r="E81" s="23"/>
      <c r="F81" s="23"/>
      <c r="G81" s="23"/>
      <c r="H81" s="23"/>
      <c r="I81" s="23"/>
      <c r="J81" s="23"/>
      <c r="K81" s="23"/>
      <c r="L81" s="23"/>
      <c r="M81" s="23"/>
      <c r="N81" s="4"/>
      <c r="O81" s="23"/>
      <c r="P81" s="23"/>
      <c r="Q81" s="4"/>
      <c r="R81" s="4"/>
      <c r="S81" s="4"/>
    </row>
    <row r="82" spans="1:19" x14ac:dyDescent="0.25">
      <c r="A82" s="876"/>
      <c r="B82" s="4"/>
      <c r="C82" s="23"/>
      <c r="D82" s="23"/>
      <c r="E82" s="23"/>
      <c r="F82" s="23"/>
      <c r="G82" s="23"/>
      <c r="H82" s="23"/>
      <c r="I82" s="23"/>
      <c r="J82" s="23"/>
      <c r="K82" s="23"/>
      <c r="L82" s="23"/>
      <c r="M82" s="23"/>
      <c r="N82" s="4"/>
      <c r="O82" s="23"/>
      <c r="P82" s="23"/>
      <c r="Q82" s="4"/>
      <c r="R82" s="4"/>
      <c r="S82" s="4"/>
    </row>
    <row r="83" spans="1:19" x14ac:dyDescent="0.25">
      <c r="A83" s="876"/>
      <c r="B83" s="4"/>
      <c r="C83" s="23"/>
      <c r="D83" s="23"/>
      <c r="E83" s="23"/>
      <c r="F83" s="23"/>
      <c r="G83" s="23"/>
      <c r="H83" s="23"/>
      <c r="I83" s="23"/>
      <c r="J83" s="23"/>
      <c r="K83" s="23"/>
      <c r="L83" s="23"/>
      <c r="M83" s="23"/>
      <c r="N83" s="4"/>
      <c r="O83" s="23"/>
      <c r="P83" s="23"/>
      <c r="Q83" s="4"/>
      <c r="R83" s="4"/>
      <c r="S83" s="4"/>
    </row>
    <row r="84" spans="1:19" x14ac:dyDescent="0.25">
      <c r="A84" s="876"/>
      <c r="B84" s="4"/>
      <c r="C84" s="23"/>
      <c r="D84" s="23"/>
      <c r="E84" s="23"/>
      <c r="F84" s="23"/>
      <c r="G84" s="23"/>
      <c r="H84" s="23"/>
      <c r="I84" s="23"/>
      <c r="J84" s="23"/>
      <c r="K84" s="23"/>
      <c r="L84" s="23"/>
      <c r="M84" s="23"/>
      <c r="N84" s="4"/>
      <c r="O84" s="23"/>
      <c r="P84" s="23"/>
      <c r="Q84" s="4"/>
      <c r="R84" s="4"/>
      <c r="S84" s="4"/>
    </row>
    <row r="85" spans="1:19" x14ac:dyDescent="0.25">
      <c r="A85" s="876"/>
      <c r="B85" s="4"/>
      <c r="C85" s="23"/>
      <c r="D85" s="23"/>
      <c r="E85" s="23"/>
      <c r="F85" s="23"/>
      <c r="G85" s="23"/>
      <c r="H85" s="23"/>
      <c r="I85" s="23"/>
      <c r="J85" s="23"/>
      <c r="K85" s="23"/>
      <c r="L85" s="23"/>
      <c r="M85" s="23"/>
      <c r="N85" s="4"/>
      <c r="O85" s="23"/>
      <c r="P85" s="23"/>
      <c r="Q85" s="4"/>
      <c r="R85" s="4"/>
      <c r="S85" s="4"/>
    </row>
    <row r="86" spans="1:19" x14ac:dyDescent="0.25">
      <c r="A86" s="876"/>
      <c r="B86" s="4"/>
      <c r="C86" s="23"/>
      <c r="D86" s="23"/>
      <c r="E86" s="23"/>
      <c r="F86" s="23"/>
      <c r="G86" s="23"/>
      <c r="H86" s="23"/>
      <c r="I86" s="23"/>
      <c r="J86" s="23"/>
      <c r="K86" s="23"/>
      <c r="L86" s="23"/>
      <c r="M86" s="23"/>
      <c r="N86" s="4"/>
      <c r="O86" s="23"/>
      <c r="P86" s="23"/>
      <c r="Q86" s="4"/>
      <c r="R86" s="4"/>
      <c r="S86" s="4"/>
    </row>
    <row r="87" spans="1:19" x14ac:dyDescent="0.25">
      <c r="A87" s="876"/>
      <c r="B87" s="4"/>
      <c r="C87" s="23"/>
      <c r="D87" s="23"/>
      <c r="E87" s="23"/>
      <c r="F87" s="23"/>
      <c r="G87" s="23"/>
      <c r="H87" s="23"/>
      <c r="I87" s="23"/>
      <c r="J87" s="23"/>
      <c r="K87" s="23"/>
      <c r="L87" s="23"/>
      <c r="M87" s="23"/>
      <c r="N87" s="4"/>
      <c r="O87" s="23"/>
      <c r="P87" s="23"/>
      <c r="Q87" s="4"/>
      <c r="R87" s="4"/>
      <c r="S87" s="4"/>
    </row>
    <row r="88" spans="1:19" x14ac:dyDescent="0.25">
      <c r="A88" s="876"/>
      <c r="B88" s="4"/>
      <c r="C88" s="23"/>
      <c r="D88" s="23"/>
      <c r="E88" s="23"/>
      <c r="F88" s="23"/>
      <c r="G88" s="23"/>
      <c r="H88" s="23"/>
      <c r="I88" s="23"/>
      <c r="J88" s="23"/>
      <c r="K88" s="23"/>
      <c r="L88" s="23"/>
      <c r="M88" s="23"/>
      <c r="N88" s="4"/>
      <c r="O88" s="23"/>
      <c r="P88" s="23"/>
      <c r="Q88" s="4"/>
      <c r="R88" s="4"/>
      <c r="S88" s="4"/>
    </row>
    <row r="89" spans="1:19" x14ac:dyDescent="0.25">
      <c r="A89" s="876"/>
      <c r="B89" s="4"/>
      <c r="C89" s="23"/>
      <c r="D89" s="23"/>
      <c r="E89" s="23"/>
      <c r="F89" s="23"/>
      <c r="G89" s="23"/>
      <c r="H89" s="23"/>
      <c r="I89" s="23"/>
      <c r="J89" s="23"/>
      <c r="K89" s="23"/>
      <c r="L89" s="23"/>
      <c r="M89" s="23"/>
      <c r="N89" s="4"/>
      <c r="O89" s="23"/>
      <c r="P89" s="23"/>
      <c r="Q89" s="4"/>
      <c r="R89" s="4"/>
      <c r="S89" s="4"/>
    </row>
    <row r="90" spans="1:19" x14ac:dyDescent="0.25">
      <c r="A90" s="876"/>
      <c r="B90" s="4"/>
      <c r="C90" s="23"/>
      <c r="D90" s="23"/>
      <c r="E90" s="23"/>
      <c r="F90" s="23"/>
      <c r="G90" s="23"/>
      <c r="H90" s="23"/>
      <c r="I90" s="23"/>
      <c r="J90" s="23"/>
      <c r="K90" s="23"/>
      <c r="L90" s="23"/>
      <c r="M90" s="23"/>
      <c r="N90" s="4"/>
      <c r="O90" s="23"/>
      <c r="P90" s="23"/>
      <c r="Q90" s="4"/>
      <c r="R90" s="4"/>
      <c r="S90" s="4"/>
    </row>
    <row r="91" spans="1:19" x14ac:dyDescent="0.25">
      <c r="A91" s="876"/>
      <c r="B91" s="4"/>
      <c r="C91" s="23"/>
      <c r="D91" s="23"/>
      <c r="E91" s="23"/>
      <c r="F91" s="23"/>
      <c r="G91" s="23"/>
      <c r="H91" s="23"/>
      <c r="I91" s="23"/>
      <c r="J91" s="23"/>
      <c r="K91" s="23"/>
      <c r="L91" s="23"/>
      <c r="M91" s="23"/>
      <c r="N91" s="4"/>
      <c r="O91" s="23"/>
      <c r="P91" s="23"/>
      <c r="Q91" s="4"/>
      <c r="R91" s="4"/>
      <c r="S91" s="4"/>
    </row>
    <row r="92" spans="1:19" x14ac:dyDescent="0.25">
      <c r="A92" s="876"/>
      <c r="B92" s="4"/>
      <c r="C92" s="23"/>
      <c r="D92" s="23"/>
      <c r="E92" s="23"/>
      <c r="F92" s="23"/>
      <c r="G92" s="23"/>
      <c r="H92" s="23"/>
      <c r="I92" s="23"/>
      <c r="J92" s="23"/>
      <c r="K92" s="23"/>
      <c r="L92" s="23"/>
      <c r="M92" s="23"/>
      <c r="N92" s="4"/>
      <c r="O92" s="23"/>
      <c r="P92" s="23"/>
      <c r="Q92" s="4"/>
      <c r="R92" s="4"/>
      <c r="S92" s="4"/>
    </row>
    <row r="93" spans="1:19" x14ac:dyDescent="0.25">
      <c r="A93" s="876"/>
      <c r="B93" s="4"/>
      <c r="C93" s="23"/>
      <c r="D93" s="23"/>
      <c r="E93" s="23"/>
      <c r="F93" s="23"/>
      <c r="G93" s="23"/>
      <c r="H93" s="23"/>
      <c r="I93" s="23"/>
      <c r="J93" s="23"/>
      <c r="K93" s="23"/>
      <c r="L93" s="23"/>
      <c r="M93" s="23"/>
      <c r="N93" s="4"/>
      <c r="O93" s="23"/>
      <c r="P93" s="23"/>
      <c r="Q93" s="4"/>
      <c r="R93" s="4"/>
      <c r="S93" s="4"/>
    </row>
    <row r="94" spans="1:19" x14ac:dyDescent="0.25">
      <c r="A94" s="876"/>
      <c r="B94" s="4"/>
      <c r="C94" s="23"/>
      <c r="D94" s="23"/>
      <c r="E94" s="23"/>
      <c r="F94" s="23"/>
      <c r="G94" s="23"/>
      <c r="H94" s="23"/>
      <c r="I94" s="23"/>
      <c r="J94" s="23"/>
      <c r="K94" s="23"/>
      <c r="L94" s="23"/>
      <c r="M94" s="23"/>
      <c r="N94" s="4"/>
      <c r="O94" s="23"/>
      <c r="P94" s="23"/>
      <c r="Q94" s="4"/>
      <c r="R94" s="4"/>
      <c r="S94" s="4"/>
    </row>
    <row r="95" spans="1:19" x14ac:dyDescent="0.25">
      <c r="A95" s="876"/>
      <c r="B95" s="4"/>
      <c r="C95" s="23"/>
      <c r="D95" s="23"/>
      <c r="E95" s="23"/>
      <c r="F95" s="23"/>
      <c r="G95" s="23"/>
      <c r="H95" s="23"/>
      <c r="I95" s="23"/>
      <c r="J95" s="23"/>
      <c r="K95" s="23"/>
      <c r="L95" s="23"/>
      <c r="M95" s="23"/>
      <c r="N95" s="4"/>
      <c r="O95" s="23"/>
      <c r="P95" s="23"/>
      <c r="Q95" s="4"/>
      <c r="R95" s="4"/>
      <c r="S95" s="4"/>
    </row>
    <row r="96" spans="1:19" x14ac:dyDescent="0.25">
      <c r="A96" s="876"/>
      <c r="B96" s="4"/>
      <c r="C96" s="23"/>
      <c r="D96" s="23"/>
      <c r="E96" s="23"/>
      <c r="F96" s="23"/>
      <c r="G96" s="23"/>
      <c r="H96" s="23"/>
      <c r="I96" s="23"/>
      <c r="J96" s="23"/>
      <c r="K96" s="23"/>
      <c r="L96" s="23"/>
      <c r="M96" s="23"/>
      <c r="N96" s="4"/>
      <c r="O96" s="23"/>
      <c r="P96" s="23"/>
      <c r="Q96" s="4"/>
      <c r="R96" s="4"/>
      <c r="S96" s="4"/>
    </row>
    <row r="97" spans="1:19" x14ac:dyDescent="0.25">
      <c r="A97" s="876"/>
      <c r="B97" s="4"/>
      <c r="C97" s="23"/>
      <c r="D97" s="23"/>
      <c r="E97" s="23"/>
      <c r="F97" s="23"/>
      <c r="G97" s="23"/>
      <c r="H97" s="23"/>
      <c r="I97" s="23"/>
      <c r="J97" s="23"/>
      <c r="K97" s="23"/>
      <c r="L97" s="23"/>
      <c r="M97" s="23"/>
      <c r="N97" s="4"/>
      <c r="O97" s="23"/>
      <c r="P97" s="23"/>
      <c r="Q97" s="4"/>
      <c r="R97" s="4"/>
      <c r="S97" s="4"/>
    </row>
    <row r="98" spans="1:19" x14ac:dyDescent="0.25">
      <c r="A98" s="876"/>
      <c r="B98" s="4"/>
      <c r="C98" s="23"/>
      <c r="D98" s="23"/>
      <c r="E98" s="23"/>
      <c r="F98" s="23"/>
      <c r="G98" s="23"/>
      <c r="H98" s="23"/>
      <c r="I98" s="23"/>
      <c r="J98" s="23"/>
      <c r="K98" s="23"/>
      <c r="L98" s="23"/>
      <c r="M98" s="23"/>
      <c r="N98" s="4"/>
      <c r="O98" s="23"/>
      <c r="P98" s="23"/>
      <c r="Q98" s="4"/>
      <c r="R98" s="4"/>
      <c r="S98" s="4"/>
    </row>
    <row r="99" spans="1:19" x14ac:dyDescent="0.25">
      <c r="A99" s="876"/>
      <c r="B99" s="4"/>
      <c r="C99" s="23"/>
      <c r="D99" s="23"/>
      <c r="E99" s="23"/>
      <c r="F99" s="23"/>
      <c r="G99" s="23"/>
      <c r="H99" s="23"/>
      <c r="I99" s="23"/>
      <c r="J99" s="23"/>
      <c r="K99" s="23"/>
      <c r="L99" s="23"/>
      <c r="M99" s="23"/>
      <c r="N99" s="4"/>
      <c r="O99" s="23"/>
      <c r="P99" s="23"/>
      <c r="Q99" s="4"/>
      <c r="R99" s="4"/>
      <c r="S99" s="4"/>
    </row>
    <row r="100" spans="1:19" x14ac:dyDescent="0.25">
      <c r="A100" s="876"/>
      <c r="B100" s="4"/>
      <c r="C100" s="23"/>
      <c r="D100" s="23"/>
      <c r="E100" s="23"/>
      <c r="F100" s="23"/>
      <c r="G100" s="23"/>
      <c r="H100" s="23"/>
      <c r="I100" s="23"/>
      <c r="J100" s="23"/>
      <c r="K100" s="23"/>
      <c r="L100" s="23"/>
      <c r="M100" s="23"/>
      <c r="N100" s="4"/>
      <c r="O100" s="23"/>
      <c r="P100" s="23"/>
      <c r="Q100" s="4"/>
      <c r="R100" s="4"/>
      <c r="S100" s="4"/>
    </row>
    <row r="101" spans="1:19" x14ac:dyDescent="0.25">
      <c r="A101" s="876"/>
      <c r="B101" s="4"/>
      <c r="C101" s="23"/>
      <c r="D101" s="23"/>
      <c r="E101" s="23"/>
      <c r="F101" s="23"/>
      <c r="G101" s="23"/>
      <c r="H101" s="23"/>
      <c r="I101" s="23"/>
      <c r="J101" s="23"/>
      <c r="K101" s="23"/>
      <c r="L101" s="23"/>
      <c r="M101" s="23"/>
      <c r="N101" s="4"/>
      <c r="O101" s="23"/>
      <c r="P101" s="23"/>
      <c r="Q101" s="4"/>
      <c r="R101" s="4"/>
      <c r="S101" s="4"/>
    </row>
    <row r="102" spans="1:19" x14ac:dyDescent="0.25">
      <c r="A102" s="876"/>
      <c r="B102" s="4"/>
      <c r="C102" s="23"/>
      <c r="D102" s="23"/>
      <c r="E102" s="23"/>
      <c r="F102" s="23"/>
      <c r="G102" s="23"/>
      <c r="H102" s="23"/>
      <c r="I102" s="23"/>
      <c r="J102" s="23"/>
      <c r="K102" s="23"/>
      <c r="L102" s="23"/>
      <c r="M102" s="23"/>
      <c r="N102" s="4"/>
      <c r="O102" s="23"/>
      <c r="P102" s="23"/>
      <c r="Q102" s="4"/>
      <c r="R102" s="4"/>
      <c r="S102" s="4"/>
    </row>
    <row r="103" spans="1:19" x14ac:dyDescent="0.25">
      <c r="A103" s="876"/>
      <c r="B103" s="4"/>
      <c r="C103" s="23"/>
      <c r="D103" s="23"/>
      <c r="E103" s="23"/>
      <c r="F103" s="23"/>
      <c r="G103" s="23"/>
      <c r="H103" s="23"/>
      <c r="I103" s="23"/>
      <c r="J103" s="23"/>
      <c r="K103" s="23"/>
      <c r="L103" s="23"/>
      <c r="M103" s="23"/>
      <c r="N103" s="4"/>
      <c r="O103" s="23"/>
      <c r="P103" s="23"/>
      <c r="Q103" s="4"/>
      <c r="R103" s="4"/>
      <c r="S103" s="4"/>
    </row>
    <row r="104" spans="1:19" x14ac:dyDescent="0.25">
      <c r="A104" s="876"/>
      <c r="B104" s="4"/>
      <c r="C104" s="23"/>
      <c r="D104" s="23"/>
      <c r="E104" s="23"/>
      <c r="F104" s="23"/>
      <c r="G104" s="23"/>
      <c r="H104" s="23"/>
      <c r="I104" s="23"/>
      <c r="J104" s="23"/>
      <c r="K104" s="23"/>
      <c r="L104" s="23"/>
      <c r="M104" s="23"/>
      <c r="N104" s="4"/>
      <c r="O104" s="23"/>
      <c r="P104" s="23"/>
      <c r="Q104" s="4"/>
      <c r="R104" s="4"/>
      <c r="S104" s="4"/>
    </row>
    <row r="105" spans="1:19" x14ac:dyDescent="0.25">
      <c r="A105" s="876"/>
      <c r="B105" s="4"/>
      <c r="C105" s="23"/>
      <c r="D105" s="23"/>
      <c r="E105" s="23"/>
      <c r="F105" s="23"/>
      <c r="G105" s="23"/>
      <c r="H105" s="23"/>
      <c r="I105" s="23"/>
      <c r="J105" s="23"/>
      <c r="K105" s="23"/>
      <c r="L105" s="23"/>
      <c r="M105" s="23"/>
      <c r="N105" s="4"/>
      <c r="O105" s="23"/>
      <c r="P105" s="23"/>
      <c r="Q105" s="4"/>
      <c r="R105" s="4"/>
      <c r="S105" s="4"/>
    </row>
    <row r="106" spans="1:19" x14ac:dyDescent="0.25">
      <c r="A106" s="876"/>
      <c r="B106" s="4"/>
      <c r="C106" s="23"/>
      <c r="D106" s="23"/>
      <c r="E106" s="23"/>
      <c r="F106" s="23"/>
      <c r="G106" s="23"/>
      <c r="H106" s="23"/>
      <c r="I106" s="23"/>
      <c r="J106" s="23"/>
      <c r="K106" s="23"/>
      <c r="L106" s="23"/>
      <c r="M106" s="23"/>
      <c r="N106" s="4"/>
      <c r="O106" s="23"/>
      <c r="P106" s="23"/>
      <c r="Q106" s="4"/>
      <c r="R106" s="4"/>
      <c r="S106" s="4"/>
    </row>
    <row r="107" spans="1:19" x14ac:dyDescent="0.25">
      <c r="A107" s="876"/>
      <c r="B107" s="4"/>
      <c r="C107" s="23"/>
      <c r="D107" s="23"/>
      <c r="E107" s="23"/>
      <c r="F107" s="23"/>
      <c r="G107" s="23"/>
      <c r="H107" s="23"/>
      <c r="I107" s="23"/>
      <c r="J107" s="23"/>
      <c r="K107" s="23"/>
      <c r="L107" s="23"/>
      <c r="M107" s="23"/>
      <c r="N107" s="4"/>
      <c r="O107" s="23"/>
      <c r="P107" s="23"/>
      <c r="Q107" s="4"/>
      <c r="R107" s="4"/>
      <c r="S107" s="4"/>
    </row>
    <row r="108" spans="1:19" x14ac:dyDescent="0.25">
      <c r="A108" s="876"/>
      <c r="B108" s="4"/>
      <c r="C108" s="23"/>
      <c r="D108" s="23"/>
      <c r="E108" s="23"/>
      <c r="F108" s="23"/>
      <c r="G108" s="23"/>
      <c r="H108" s="23"/>
      <c r="I108" s="23"/>
      <c r="J108" s="23"/>
      <c r="K108" s="23"/>
      <c r="L108" s="23"/>
      <c r="M108" s="23"/>
      <c r="N108" s="4"/>
      <c r="O108" s="23"/>
      <c r="P108" s="23"/>
      <c r="Q108" s="4"/>
      <c r="R108" s="4"/>
      <c r="S108" s="4"/>
    </row>
    <row r="109" spans="1:19" x14ac:dyDescent="0.25">
      <c r="A109" s="876"/>
      <c r="B109" s="4"/>
      <c r="C109" s="23"/>
      <c r="D109" s="23"/>
      <c r="E109" s="23"/>
      <c r="F109" s="23"/>
      <c r="G109" s="23"/>
      <c r="H109" s="23"/>
      <c r="I109" s="23"/>
      <c r="J109" s="23"/>
      <c r="K109" s="23"/>
      <c r="L109" s="23"/>
      <c r="M109" s="23"/>
      <c r="N109" s="4"/>
      <c r="O109" s="23"/>
      <c r="P109" s="23"/>
      <c r="Q109" s="4"/>
      <c r="R109" s="4"/>
      <c r="S109" s="4"/>
    </row>
    <row r="110" spans="1:19" x14ac:dyDescent="0.25">
      <c r="A110" s="876"/>
      <c r="B110" s="4"/>
      <c r="C110" s="23"/>
      <c r="D110" s="23"/>
      <c r="E110" s="23"/>
      <c r="F110" s="23"/>
      <c r="G110" s="23"/>
      <c r="H110" s="23"/>
      <c r="I110" s="23"/>
      <c r="J110" s="23"/>
      <c r="K110" s="23"/>
      <c r="L110" s="23"/>
      <c r="M110" s="23"/>
      <c r="N110" s="4"/>
      <c r="O110" s="23"/>
      <c r="P110" s="23"/>
      <c r="Q110" s="4"/>
      <c r="R110" s="4"/>
      <c r="S110" s="4"/>
    </row>
    <row r="111" spans="1:19" x14ac:dyDescent="0.25">
      <c r="A111" s="876"/>
      <c r="B111" s="4"/>
      <c r="C111" s="23"/>
      <c r="D111" s="23"/>
      <c r="E111" s="23"/>
      <c r="F111" s="23"/>
      <c r="G111" s="23"/>
      <c r="H111" s="23"/>
      <c r="I111" s="23"/>
      <c r="J111" s="23"/>
      <c r="K111" s="23"/>
      <c r="L111" s="23"/>
      <c r="M111" s="23"/>
      <c r="N111" s="4"/>
      <c r="O111" s="23"/>
      <c r="P111" s="23"/>
      <c r="Q111" s="4"/>
      <c r="R111" s="4"/>
      <c r="S111" s="4"/>
    </row>
    <row r="112" spans="1:19" x14ac:dyDescent="0.25">
      <c r="A112" s="876"/>
      <c r="B112" s="4"/>
      <c r="C112" s="23"/>
      <c r="D112" s="23"/>
      <c r="E112" s="23"/>
      <c r="F112" s="23"/>
      <c r="G112" s="23"/>
      <c r="H112" s="23"/>
      <c r="I112" s="23"/>
      <c r="J112" s="23"/>
      <c r="K112" s="23"/>
      <c r="L112" s="23"/>
      <c r="M112" s="23"/>
      <c r="N112" s="4"/>
      <c r="O112" s="23"/>
      <c r="P112" s="23"/>
      <c r="Q112" s="4"/>
      <c r="R112" s="4"/>
      <c r="S112" s="4"/>
    </row>
    <row r="113" spans="1:19" x14ac:dyDescent="0.25">
      <c r="A113" s="876"/>
      <c r="B113" s="4"/>
      <c r="C113" s="23"/>
      <c r="D113" s="23"/>
      <c r="E113" s="23"/>
      <c r="F113" s="23"/>
      <c r="G113" s="23"/>
      <c r="H113" s="23"/>
      <c r="I113" s="23"/>
      <c r="J113" s="23"/>
      <c r="K113" s="23"/>
      <c r="L113" s="23"/>
      <c r="M113" s="23"/>
      <c r="N113" s="4"/>
      <c r="O113" s="23"/>
      <c r="P113" s="23"/>
      <c r="Q113" s="4"/>
      <c r="R113" s="4"/>
      <c r="S113" s="4"/>
    </row>
    <row r="114" spans="1:19" x14ac:dyDescent="0.25">
      <c r="A114" s="876"/>
      <c r="B114" s="4"/>
      <c r="C114" s="23"/>
      <c r="D114" s="23"/>
      <c r="E114" s="23"/>
      <c r="F114" s="23"/>
      <c r="G114" s="23"/>
      <c r="H114" s="23"/>
      <c r="I114" s="23"/>
      <c r="J114" s="23"/>
      <c r="K114" s="23"/>
      <c r="L114" s="23"/>
      <c r="M114" s="23"/>
      <c r="N114" s="4"/>
      <c r="O114" s="23"/>
      <c r="P114" s="23"/>
      <c r="Q114" s="4"/>
      <c r="R114" s="4"/>
      <c r="S114" s="4"/>
    </row>
    <row r="115" spans="1:19" x14ac:dyDescent="0.25">
      <c r="A115" s="876"/>
      <c r="B115" s="4"/>
      <c r="C115" s="23"/>
      <c r="D115" s="23"/>
      <c r="E115" s="23"/>
      <c r="F115" s="23"/>
      <c r="G115" s="23"/>
      <c r="H115" s="23"/>
      <c r="I115" s="23"/>
      <c r="J115" s="23"/>
      <c r="K115" s="23"/>
      <c r="L115" s="23"/>
      <c r="M115" s="23"/>
      <c r="N115" s="4"/>
      <c r="O115" s="23"/>
      <c r="P115" s="23"/>
      <c r="Q115" s="4"/>
      <c r="R115" s="4"/>
      <c r="S115" s="4"/>
    </row>
    <row r="116" spans="1:19" x14ac:dyDescent="0.25">
      <c r="A116" s="876"/>
      <c r="B116" s="4"/>
      <c r="C116" s="23"/>
      <c r="D116" s="23"/>
      <c r="E116" s="23"/>
      <c r="F116" s="23"/>
      <c r="G116" s="23"/>
      <c r="H116" s="23"/>
      <c r="I116" s="23"/>
      <c r="J116" s="23"/>
      <c r="K116" s="23"/>
      <c r="L116" s="23"/>
      <c r="M116" s="23"/>
      <c r="N116" s="4"/>
      <c r="O116" s="23"/>
      <c r="P116" s="23"/>
      <c r="Q116" s="4"/>
      <c r="R116" s="4"/>
      <c r="S116" s="4"/>
    </row>
    <row r="117" spans="1:19" x14ac:dyDescent="0.25">
      <c r="A117" s="876"/>
      <c r="B117" s="4"/>
      <c r="C117" s="23"/>
      <c r="D117" s="23"/>
      <c r="E117" s="23"/>
      <c r="F117" s="23"/>
      <c r="G117" s="23"/>
      <c r="H117" s="23"/>
      <c r="I117" s="23"/>
      <c r="J117" s="23"/>
      <c r="K117" s="23"/>
      <c r="L117" s="23"/>
      <c r="M117" s="23"/>
      <c r="N117" s="4"/>
      <c r="O117" s="23"/>
      <c r="P117" s="23"/>
      <c r="Q117" s="4"/>
      <c r="R117" s="4"/>
      <c r="S117" s="4"/>
    </row>
    <row r="118" spans="1:19" x14ac:dyDescent="0.25">
      <c r="A118" s="876"/>
      <c r="B118" s="4"/>
      <c r="C118" s="23"/>
      <c r="D118" s="23"/>
      <c r="E118" s="23"/>
      <c r="F118" s="23"/>
      <c r="G118" s="23"/>
      <c r="H118" s="23"/>
      <c r="I118" s="23"/>
      <c r="J118" s="23"/>
      <c r="K118" s="23"/>
      <c r="L118" s="23"/>
      <c r="M118" s="23"/>
      <c r="N118" s="4"/>
      <c r="O118" s="23"/>
      <c r="P118" s="23"/>
      <c r="Q118" s="4"/>
      <c r="R118" s="4"/>
      <c r="S118" s="4"/>
    </row>
    <row r="119" spans="1:19" x14ac:dyDescent="0.25">
      <c r="A119" s="876"/>
      <c r="B119" s="4"/>
      <c r="C119" s="23"/>
      <c r="D119" s="23"/>
      <c r="E119" s="23"/>
      <c r="F119" s="23"/>
      <c r="G119" s="23"/>
      <c r="H119" s="23"/>
      <c r="I119" s="23"/>
      <c r="J119" s="23"/>
      <c r="K119" s="23"/>
      <c r="L119" s="23"/>
      <c r="M119" s="23"/>
      <c r="N119" s="4"/>
      <c r="O119" s="23"/>
      <c r="P119" s="23"/>
      <c r="Q119" s="4"/>
      <c r="R119" s="4"/>
      <c r="S119" s="4"/>
    </row>
    <row r="120" spans="1:19" x14ac:dyDescent="0.25">
      <c r="A120" s="876"/>
      <c r="B120" s="4"/>
      <c r="C120" s="23"/>
      <c r="D120" s="23"/>
      <c r="E120" s="23"/>
      <c r="F120" s="23"/>
      <c r="G120" s="23"/>
      <c r="H120" s="23"/>
      <c r="I120" s="23"/>
      <c r="J120" s="23"/>
      <c r="K120" s="23"/>
      <c r="L120" s="23"/>
      <c r="M120" s="23"/>
      <c r="N120" s="4"/>
      <c r="O120" s="23"/>
      <c r="P120" s="23"/>
      <c r="Q120" s="4"/>
      <c r="R120" s="4"/>
      <c r="S120" s="4"/>
    </row>
    <row r="121" spans="1:19" x14ac:dyDescent="0.25">
      <c r="A121" s="876"/>
      <c r="B121" s="4"/>
      <c r="C121" s="23"/>
      <c r="D121" s="23"/>
      <c r="E121" s="23"/>
      <c r="F121" s="23"/>
      <c r="G121" s="23"/>
      <c r="H121" s="23"/>
      <c r="I121" s="23"/>
      <c r="J121" s="23"/>
      <c r="K121" s="23"/>
      <c r="L121" s="23"/>
      <c r="M121" s="23"/>
      <c r="N121" s="4"/>
      <c r="O121" s="23"/>
      <c r="P121" s="23"/>
      <c r="Q121" s="4"/>
      <c r="R121" s="4"/>
      <c r="S121" s="4"/>
    </row>
    <row r="122" spans="1:19" x14ac:dyDescent="0.25">
      <c r="A122" s="876"/>
      <c r="B122" s="4"/>
      <c r="C122" s="23"/>
      <c r="D122" s="23"/>
      <c r="E122" s="23"/>
      <c r="F122" s="23"/>
      <c r="G122" s="23"/>
      <c r="H122" s="23"/>
      <c r="I122" s="23"/>
      <c r="J122" s="23"/>
      <c r="K122" s="23"/>
      <c r="L122" s="23"/>
      <c r="M122" s="23"/>
      <c r="N122" s="4"/>
      <c r="O122" s="23"/>
      <c r="P122" s="23"/>
      <c r="Q122" s="4"/>
      <c r="R122" s="4"/>
      <c r="S122" s="4"/>
    </row>
    <row r="123" spans="1:19" x14ac:dyDescent="0.25">
      <c r="A123" s="876"/>
      <c r="B123" s="4"/>
      <c r="C123" s="23"/>
      <c r="D123" s="23"/>
      <c r="E123" s="23"/>
      <c r="F123" s="23"/>
      <c r="G123" s="23"/>
      <c r="H123" s="23"/>
      <c r="I123" s="23"/>
      <c r="J123" s="23"/>
      <c r="K123" s="23"/>
      <c r="L123" s="23"/>
      <c r="M123" s="23"/>
      <c r="N123" s="4"/>
      <c r="O123" s="23"/>
      <c r="P123" s="23"/>
      <c r="Q123" s="4"/>
      <c r="R123" s="4"/>
      <c r="S123" s="4"/>
    </row>
    <row r="124" spans="1:19" x14ac:dyDescent="0.25">
      <c r="A124" s="876"/>
      <c r="B124" s="4"/>
      <c r="C124" s="23"/>
      <c r="D124" s="23"/>
      <c r="E124" s="23"/>
      <c r="F124" s="23"/>
      <c r="G124" s="23"/>
      <c r="H124" s="23"/>
      <c r="I124" s="23"/>
      <c r="J124" s="23"/>
      <c r="K124" s="23"/>
      <c r="L124" s="23"/>
      <c r="M124" s="23"/>
      <c r="N124" s="4"/>
      <c r="O124" s="23"/>
      <c r="P124" s="23"/>
      <c r="Q124" s="4"/>
      <c r="R124" s="4"/>
      <c r="S124" s="4"/>
    </row>
    <row r="125" spans="1:19" x14ac:dyDescent="0.25">
      <c r="A125" s="876"/>
      <c r="B125" s="4"/>
      <c r="C125" s="23"/>
      <c r="D125" s="23"/>
      <c r="E125" s="23"/>
      <c r="F125" s="23"/>
      <c r="G125" s="23"/>
      <c r="H125" s="23"/>
      <c r="I125" s="23"/>
      <c r="J125" s="23"/>
      <c r="K125" s="23"/>
      <c r="L125" s="23"/>
      <c r="M125" s="23"/>
      <c r="N125" s="4"/>
      <c r="O125" s="23"/>
      <c r="P125" s="23"/>
      <c r="Q125" s="4"/>
      <c r="R125" s="4"/>
      <c r="S125" s="4"/>
    </row>
    <row r="126" spans="1:19" x14ac:dyDescent="0.25">
      <c r="A126" s="876"/>
      <c r="B126" s="4"/>
      <c r="C126" s="23"/>
      <c r="D126" s="23"/>
      <c r="E126" s="23"/>
      <c r="F126" s="23"/>
      <c r="G126" s="23"/>
      <c r="H126" s="23"/>
      <c r="I126" s="23"/>
      <c r="J126" s="23"/>
      <c r="K126" s="23"/>
      <c r="L126" s="23"/>
      <c r="M126" s="23"/>
      <c r="N126" s="4"/>
      <c r="O126" s="23"/>
      <c r="P126" s="23"/>
      <c r="Q126" s="4"/>
      <c r="R126" s="4"/>
      <c r="S126" s="4"/>
    </row>
    <row r="127" spans="1:19" x14ac:dyDescent="0.25">
      <c r="A127" s="876"/>
      <c r="B127" s="4"/>
      <c r="C127" s="23"/>
      <c r="D127" s="23"/>
      <c r="E127" s="23"/>
      <c r="F127" s="23"/>
      <c r="G127" s="23"/>
      <c r="H127" s="23"/>
      <c r="I127" s="23"/>
      <c r="J127" s="23"/>
      <c r="K127" s="23"/>
      <c r="L127" s="23"/>
      <c r="M127" s="23"/>
      <c r="N127" s="4"/>
      <c r="O127" s="23"/>
      <c r="P127" s="23"/>
      <c r="Q127" s="4"/>
      <c r="R127" s="4"/>
      <c r="S127" s="4"/>
    </row>
    <row r="128" spans="1:19" x14ac:dyDescent="0.25">
      <c r="A128" s="876"/>
      <c r="B128" s="4"/>
      <c r="C128" s="23"/>
      <c r="D128" s="23"/>
      <c r="E128" s="23"/>
      <c r="F128" s="23"/>
      <c r="G128" s="23"/>
      <c r="H128" s="23"/>
      <c r="I128" s="23"/>
      <c r="J128" s="23"/>
      <c r="K128" s="23"/>
      <c r="L128" s="23"/>
      <c r="M128" s="23"/>
      <c r="N128" s="4"/>
      <c r="O128" s="23"/>
      <c r="P128" s="23"/>
      <c r="Q128" s="4"/>
      <c r="R128" s="4"/>
      <c r="S128" s="4"/>
    </row>
    <row r="129" spans="1:19" x14ac:dyDescent="0.25">
      <c r="A129" s="876"/>
      <c r="B129" s="4"/>
      <c r="C129" s="23"/>
      <c r="D129" s="23"/>
      <c r="E129" s="23"/>
      <c r="F129" s="23"/>
      <c r="G129" s="23"/>
      <c r="H129" s="23"/>
      <c r="I129" s="23"/>
      <c r="J129" s="23"/>
      <c r="K129" s="23"/>
      <c r="L129" s="23"/>
      <c r="M129" s="23"/>
      <c r="N129" s="4"/>
      <c r="O129" s="23"/>
      <c r="P129" s="23"/>
      <c r="Q129" s="4"/>
      <c r="R129" s="4"/>
      <c r="S129" s="4"/>
    </row>
    <row r="130" spans="1:19" x14ac:dyDescent="0.25">
      <c r="A130" s="876"/>
      <c r="B130" s="4"/>
      <c r="C130" s="23"/>
      <c r="D130" s="23"/>
      <c r="E130" s="23"/>
      <c r="F130" s="23"/>
      <c r="G130" s="23"/>
      <c r="H130" s="23"/>
      <c r="I130" s="23"/>
      <c r="J130" s="23"/>
      <c r="K130" s="23"/>
      <c r="L130" s="23"/>
      <c r="M130" s="23"/>
      <c r="N130" s="4"/>
      <c r="O130" s="23"/>
      <c r="P130" s="23"/>
      <c r="Q130" s="4"/>
      <c r="R130" s="4"/>
      <c r="S130" s="4"/>
    </row>
    <row r="131" spans="1:19" x14ac:dyDescent="0.25">
      <c r="A131" s="876"/>
      <c r="B131" s="4"/>
      <c r="C131" s="23"/>
      <c r="D131" s="23"/>
      <c r="E131" s="23"/>
      <c r="F131" s="23"/>
      <c r="G131" s="23"/>
      <c r="H131" s="23"/>
      <c r="I131" s="23"/>
      <c r="J131" s="23"/>
      <c r="K131" s="23"/>
      <c r="L131" s="23"/>
      <c r="M131" s="23"/>
      <c r="N131" s="4"/>
      <c r="O131" s="23"/>
      <c r="P131" s="23"/>
      <c r="Q131" s="4"/>
      <c r="R131" s="4"/>
      <c r="S131" s="4"/>
    </row>
    <row r="132" spans="1:19" x14ac:dyDescent="0.25">
      <c r="A132" s="876"/>
      <c r="B132" s="4"/>
      <c r="C132" s="23"/>
      <c r="D132" s="23"/>
      <c r="E132" s="23"/>
      <c r="F132" s="23"/>
      <c r="G132" s="23"/>
      <c r="H132" s="23"/>
      <c r="I132" s="23"/>
      <c r="J132" s="23"/>
      <c r="K132" s="23"/>
      <c r="L132" s="23"/>
      <c r="M132" s="23"/>
      <c r="N132" s="4"/>
      <c r="O132" s="23"/>
      <c r="P132" s="23"/>
      <c r="Q132" s="4"/>
      <c r="R132" s="4"/>
      <c r="S132" s="4"/>
    </row>
    <row r="133" spans="1:19" x14ac:dyDescent="0.25">
      <c r="A133" s="876"/>
      <c r="B133" s="4"/>
      <c r="C133" s="23"/>
      <c r="D133" s="23"/>
      <c r="E133" s="23"/>
      <c r="F133" s="23"/>
      <c r="G133" s="23"/>
      <c r="H133" s="23"/>
      <c r="I133" s="23"/>
      <c r="J133" s="23"/>
      <c r="K133" s="23"/>
      <c r="L133" s="23"/>
      <c r="M133" s="23"/>
      <c r="N133" s="4"/>
      <c r="O133" s="23"/>
      <c r="P133" s="23"/>
      <c r="Q133" s="4"/>
      <c r="R133" s="4"/>
      <c r="S133" s="4"/>
    </row>
    <row r="134" spans="1:19" x14ac:dyDescent="0.25">
      <c r="A134" s="876"/>
      <c r="B134" s="4"/>
      <c r="C134" s="23"/>
      <c r="D134" s="23"/>
      <c r="E134" s="23"/>
      <c r="F134" s="23"/>
      <c r="G134" s="23"/>
      <c r="H134" s="23"/>
      <c r="I134" s="23"/>
      <c r="J134" s="23"/>
      <c r="K134" s="23"/>
      <c r="L134" s="23"/>
      <c r="M134" s="23"/>
      <c r="N134" s="4"/>
      <c r="O134" s="23"/>
      <c r="P134" s="23"/>
      <c r="Q134" s="4"/>
      <c r="R134" s="4"/>
      <c r="S134" s="4"/>
    </row>
    <row r="135" spans="1:19" x14ac:dyDescent="0.25">
      <c r="A135" s="876"/>
      <c r="B135" s="4"/>
      <c r="C135" s="23"/>
      <c r="D135" s="23"/>
      <c r="E135" s="23"/>
      <c r="F135" s="23"/>
      <c r="G135" s="23"/>
      <c r="H135" s="23"/>
      <c r="I135" s="23"/>
      <c r="J135" s="23"/>
      <c r="K135" s="23"/>
      <c r="L135" s="23"/>
      <c r="M135" s="23"/>
      <c r="N135" s="4"/>
      <c r="O135" s="23"/>
      <c r="P135" s="23"/>
      <c r="Q135" s="4"/>
      <c r="R135" s="4"/>
      <c r="S135" s="4"/>
    </row>
    <row r="136" spans="1:19" x14ac:dyDescent="0.25">
      <c r="A136" s="876"/>
      <c r="B136" s="4"/>
      <c r="C136" s="23"/>
      <c r="D136" s="23"/>
      <c r="E136" s="23"/>
      <c r="F136" s="23"/>
      <c r="G136" s="23"/>
      <c r="H136" s="23"/>
      <c r="I136" s="23"/>
      <c r="J136" s="23"/>
      <c r="K136" s="23"/>
      <c r="L136" s="23"/>
      <c r="M136" s="23"/>
      <c r="N136" s="4"/>
      <c r="O136" s="23"/>
      <c r="P136" s="23"/>
      <c r="Q136" s="4"/>
      <c r="R136" s="4"/>
      <c r="S136" s="4"/>
    </row>
    <row r="137" spans="1:19" x14ac:dyDescent="0.25">
      <c r="A137" s="876"/>
      <c r="B137" s="4"/>
      <c r="C137" s="23"/>
      <c r="D137" s="23"/>
      <c r="E137" s="23"/>
      <c r="F137" s="23"/>
      <c r="G137" s="23"/>
      <c r="H137" s="23"/>
      <c r="I137" s="23"/>
      <c r="J137" s="23"/>
      <c r="K137" s="23"/>
      <c r="L137" s="23"/>
      <c r="M137" s="23"/>
      <c r="N137" s="4"/>
      <c r="O137" s="23"/>
      <c r="P137" s="23"/>
      <c r="Q137" s="4"/>
      <c r="R137" s="4"/>
      <c r="S137" s="4"/>
    </row>
    <row r="138" spans="1:19" x14ac:dyDescent="0.25">
      <c r="A138" s="876"/>
      <c r="B138" s="4"/>
      <c r="C138" s="23"/>
      <c r="D138" s="23"/>
      <c r="E138" s="23"/>
      <c r="F138" s="23"/>
      <c r="G138" s="23"/>
      <c r="H138" s="23"/>
      <c r="I138" s="23"/>
      <c r="J138" s="23"/>
      <c r="K138" s="23"/>
      <c r="L138" s="23"/>
      <c r="M138" s="23"/>
      <c r="N138" s="4"/>
      <c r="O138" s="23"/>
      <c r="P138" s="23"/>
      <c r="Q138" s="4"/>
      <c r="R138" s="4"/>
      <c r="S138" s="4"/>
    </row>
    <row r="139" spans="1:19" x14ac:dyDescent="0.25">
      <c r="C139" s="114"/>
    </row>
    <row r="140" spans="1:19" x14ac:dyDescent="0.25">
      <c r="C140" s="114"/>
    </row>
    <row r="141" spans="1:19" x14ac:dyDescent="0.25">
      <c r="C141" s="114"/>
    </row>
    <row r="142" spans="1:19" x14ac:dyDescent="0.25">
      <c r="C142" s="114"/>
    </row>
    <row r="143" spans="1:19" x14ac:dyDescent="0.25">
      <c r="C143" s="114"/>
    </row>
    <row r="144" spans="1:19" x14ac:dyDescent="0.25">
      <c r="C144" s="114"/>
    </row>
    <row r="145" spans="3:3" x14ac:dyDescent="0.25">
      <c r="C145" s="114"/>
    </row>
    <row r="146" spans="3:3" x14ac:dyDescent="0.25">
      <c r="C146" s="114"/>
    </row>
    <row r="147" spans="3:3" x14ac:dyDescent="0.25">
      <c r="C147" s="114"/>
    </row>
    <row r="148" spans="3:3" x14ac:dyDescent="0.25">
      <c r="C148" s="114"/>
    </row>
    <row r="149" spans="3:3" x14ac:dyDescent="0.25">
      <c r="C149" s="114"/>
    </row>
    <row r="150" spans="3:3" x14ac:dyDescent="0.25">
      <c r="C150" s="114"/>
    </row>
    <row r="151" spans="3:3" x14ac:dyDescent="0.25">
      <c r="C151" s="114"/>
    </row>
    <row r="152" spans="3:3" x14ac:dyDescent="0.25">
      <c r="C152" s="114"/>
    </row>
    <row r="153" spans="3:3" x14ac:dyDescent="0.25">
      <c r="C153" s="114"/>
    </row>
    <row r="154" spans="3:3" x14ac:dyDescent="0.25">
      <c r="C154" s="114"/>
    </row>
    <row r="155" spans="3:3" x14ac:dyDescent="0.25">
      <c r="C155" s="114"/>
    </row>
    <row r="156" spans="3:3" x14ac:dyDescent="0.25">
      <c r="C156" s="114"/>
    </row>
    <row r="157" spans="3:3" x14ac:dyDescent="0.25">
      <c r="C157" s="114"/>
    </row>
    <row r="158" spans="3:3" x14ac:dyDescent="0.25">
      <c r="C158" s="114"/>
    </row>
    <row r="159" spans="3:3" x14ac:dyDescent="0.25">
      <c r="C159" s="114"/>
    </row>
    <row r="160" spans="3:3" x14ac:dyDescent="0.25">
      <c r="C160" s="114"/>
    </row>
    <row r="161" spans="3:3" x14ac:dyDescent="0.25">
      <c r="C161" s="114"/>
    </row>
    <row r="162" spans="3:3" x14ac:dyDescent="0.25">
      <c r="C162" s="114"/>
    </row>
    <row r="163" spans="3:3" x14ac:dyDescent="0.25">
      <c r="C163" s="114"/>
    </row>
    <row r="164" spans="3:3" x14ac:dyDescent="0.25">
      <c r="C164" s="114"/>
    </row>
    <row r="165" spans="3:3" x14ac:dyDescent="0.25">
      <c r="C165" s="114"/>
    </row>
    <row r="166" spans="3:3" x14ac:dyDescent="0.25">
      <c r="C166" s="114"/>
    </row>
    <row r="167" spans="3:3" x14ac:dyDescent="0.25">
      <c r="C167" s="114"/>
    </row>
    <row r="168" spans="3:3" x14ac:dyDescent="0.25">
      <c r="C168" s="114"/>
    </row>
    <row r="169" spans="3:3" x14ac:dyDescent="0.25">
      <c r="C169" s="114"/>
    </row>
    <row r="170" spans="3:3" x14ac:dyDescent="0.25">
      <c r="C170" s="114"/>
    </row>
    <row r="171" spans="3:3" x14ac:dyDescent="0.25">
      <c r="C171" s="114"/>
    </row>
    <row r="172" spans="3:3" x14ac:dyDescent="0.25">
      <c r="C172" s="114"/>
    </row>
    <row r="173" spans="3:3" x14ac:dyDescent="0.25">
      <c r="C173" s="114"/>
    </row>
    <row r="174" spans="3:3" x14ac:dyDescent="0.25">
      <c r="C174" s="114"/>
    </row>
    <row r="175" spans="3:3" x14ac:dyDescent="0.25">
      <c r="C175" s="114"/>
    </row>
    <row r="176" spans="3:3" x14ac:dyDescent="0.25">
      <c r="C176" s="114"/>
    </row>
    <row r="177" spans="3:3" x14ac:dyDescent="0.25">
      <c r="C177" s="114"/>
    </row>
    <row r="178" spans="3:3" x14ac:dyDescent="0.25">
      <c r="C178" s="114"/>
    </row>
    <row r="179" spans="3:3" x14ac:dyDescent="0.25">
      <c r="C179" s="114"/>
    </row>
    <row r="180" spans="3:3" x14ac:dyDescent="0.25">
      <c r="C180" s="114"/>
    </row>
    <row r="181" spans="3:3" x14ac:dyDescent="0.25">
      <c r="C181" s="114"/>
    </row>
    <row r="182" spans="3:3" x14ac:dyDescent="0.25">
      <c r="C182" s="114"/>
    </row>
    <row r="183" spans="3:3" x14ac:dyDescent="0.25">
      <c r="C183" s="114"/>
    </row>
    <row r="184" spans="3:3" x14ac:dyDescent="0.25">
      <c r="C184" s="114"/>
    </row>
    <row r="185" spans="3:3" x14ac:dyDescent="0.25">
      <c r="C185" s="114"/>
    </row>
  </sheetData>
  <phoneticPr fontId="0" type="noConversion"/>
  <hyperlinks>
    <hyperlink ref="A1" location="'Working Budget with funding det'!A1" display="Main " xr:uid="{00000000-0004-0000-3400-000000000000}"/>
    <hyperlink ref="B1" location="'Table of Contents'!A1" display="TOC" xr:uid="{00000000-0004-0000-3400-000001000000}"/>
  </hyperlinks>
  <pageMargins left="0.75" right="0.75" top="1" bottom="1" header="0.5" footer="0.5"/>
  <pageSetup orientation="landscape" horizontalDpi="300" verticalDpi="300" r:id="rId1"/>
  <headerFooter alignWithMargins="0">
    <oddFooter>&amp;L&amp;D     &amp;T&amp;C&amp;F&amp;R&amp;A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92D050"/>
  </sheetPr>
  <dimension ref="A1:P51"/>
  <sheetViews>
    <sheetView zoomScaleNormal="100" workbookViewId="0">
      <pane ySplit="7" topLeftCell="A9" activePane="bottomLeft" state="frozen"/>
      <selection activeCell="P7" sqref="P7"/>
      <selection pane="bottomLeft" activeCell="Q1" sqref="Q1:T1048576"/>
    </sheetView>
  </sheetViews>
  <sheetFormatPr defaultRowHeight="13.2" x14ac:dyDescent="0.25"/>
  <cols>
    <col min="1" max="1" width="8.77734375" style="885"/>
    <col min="2" max="2" width="36.44140625" customWidth="1"/>
    <col min="3" max="3" width="14.33203125" style="1" hidden="1" customWidth="1"/>
    <col min="4" max="8" width="14.33203125" style="114" hidden="1" customWidth="1"/>
    <col min="9" max="10" width="14.33203125" style="80" hidden="1" customWidth="1"/>
    <col min="11" max="13" width="14.33203125" style="80" customWidth="1"/>
    <col min="14" max="16" width="14.33203125" customWidth="1"/>
  </cols>
  <sheetData>
    <row r="1" spans="1:16" x14ac:dyDescent="0.25">
      <c r="A1" s="874" t="s">
        <v>1021</v>
      </c>
      <c r="B1" s="371" t="s">
        <v>1348</v>
      </c>
      <c r="D1" s="224"/>
      <c r="E1" s="224"/>
      <c r="F1" s="224"/>
      <c r="G1" s="224"/>
      <c r="H1" s="224"/>
      <c r="I1" s="224"/>
      <c r="J1" s="224"/>
      <c r="K1" s="224"/>
      <c r="L1" s="224"/>
      <c r="M1" s="224"/>
      <c r="O1" s="1"/>
    </row>
    <row r="2" spans="1:16" ht="13.8" x14ac:dyDescent="0.25">
      <c r="A2" s="875" t="s">
        <v>4</v>
      </c>
      <c r="B2" s="45"/>
      <c r="E2" s="141"/>
      <c r="I2" s="141" t="s">
        <v>257</v>
      </c>
      <c r="J2" s="141"/>
      <c r="K2" s="141"/>
      <c r="L2" s="141"/>
      <c r="M2" s="141"/>
      <c r="N2" s="61" t="s">
        <v>393</v>
      </c>
      <c r="O2" s="1"/>
      <c r="P2" s="46" t="s">
        <v>405</v>
      </c>
    </row>
    <row r="3" spans="1:16" ht="13.8" thickBot="1" x14ac:dyDescent="0.3">
      <c r="A3" s="876"/>
      <c r="B3" s="4"/>
      <c r="C3" s="23"/>
      <c r="D3" s="23"/>
      <c r="E3" s="23"/>
      <c r="F3" s="23"/>
      <c r="G3" s="23"/>
      <c r="H3" s="23"/>
      <c r="I3" s="23"/>
      <c r="J3" s="23"/>
      <c r="K3" s="23"/>
      <c r="L3" s="23"/>
      <c r="M3" s="23"/>
      <c r="N3" s="4"/>
      <c r="O3" s="23"/>
      <c r="P3" s="4"/>
    </row>
    <row r="4" spans="1:16" ht="13.8" thickTop="1" x14ac:dyDescent="0.25">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t="s">
        <v>910</v>
      </c>
    </row>
    <row r="5" spans="1:16" x14ac:dyDescent="0.25">
      <c r="A5" s="878"/>
      <c r="B5" s="209"/>
      <c r="C5" s="127"/>
      <c r="D5" s="87"/>
      <c r="E5" s="113"/>
      <c r="F5" s="87"/>
      <c r="G5" s="87"/>
      <c r="H5" s="113"/>
      <c r="I5" s="290"/>
      <c r="J5" s="290"/>
      <c r="K5" s="290"/>
      <c r="L5" s="290"/>
      <c r="M5" s="290"/>
      <c r="N5" s="113" t="s">
        <v>515</v>
      </c>
      <c r="O5" s="88" t="s">
        <v>7</v>
      </c>
      <c r="P5" s="203" t="s">
        <v>782</v>
      </c>
    </row>
    <row r="6" spans="1:16" x14ac:dyDescent="0.25">
      <c r="A6" s="878"/>
      <c r="B6" s="209"/>
      <c r="C6" s="111"/>
      <c r="D6" s="87"/>
      <c r="E6" s="113"/>
      <c r="F6" s="113"/>
      <c r="G6" s="113"/>
      <c r="H6" s="113"/>
      <c r="I6" s="290"/>
      <c r="J6" s="290"/>
      <c r="K6" s="290"/>
      <c r="L6" s="290"/>
      <c r="M6" s="290"/>
      <c r="N6" s="113"/>
      <c r="O6" s="88" t="s">
        <v>8</v>
      </c>
      <c r="P6" s="47" t="s">
        <v>543</v>
      </c>
    </row>
    <row r="7" spans="1:16" ht="13.8" thickBot="1" x14ac:dyDescent="0.3">
      <c r="A7" s="879" t="s">
        <v>128</v>
      </c>
      <c r="B7" s="82"/>
      <c r="C7" s="308" t="s">
        <v>347</v>
      </c>
      <c r="D7" s="308" t="s">
        <v>722</v>
      </c>
      <c r="E7" s="81" t="s">
        <v>737</v>
      </c>
      <c r="F7" s="81" t="s">
        <v>789</v>
      </c>
      <c r="G7" s="81" t="s">
        <v>889</v>
      </c>
      <c r="H7" s="81" t="s">
        <v>1018</v>
      </c>
      <c r="I7" s="81" t="s">
        <v>1072</v>
      </c>
      <c r="J7" s="81" t="s">
        <v>907</v>
      </c>
      <c r="K7" s="81" t="s">
        <v>908</v>
      </c>
      <c r="L7" s="81" t="s">
        <v>908</v>
      </c>
      <c r="M7" s="81" t="s">
        <v>909</v>
      </c>
      <c r="N7" s="136">
        <v>44561</v>
      </c>
      <c r="O7" s="81" t="s">
        <v>9</v>
      </c>
      <c r="P7" s="9" t="s">
        <v>546</v>
      </c>
    </row>
    <row r="8" spans="1:16" ht="13.8" thickTop="1" x14ac:dyDescent="0.25">
      <c r="A8" s="880"/>
      <c r="B8" s="177"/>
      <c r="C8" s="129"/>
      <c r="D8" s="309"/>
      <c r="E8" s="309"/>
      <c r="F8" s="309"/>
      <c r="G8" s="309"/>
      <c r="H8" s="309"/>
      <c r="I8" s="162"/>
      <c r="J8" s="162"/>
      <c r="K8" s="162"/>
      <c r="L8" s="162"/>
      <c r="M8" s="162"/>
      <c r="N8" s="129"/>
      <c r="O8" s="93"/>
      <c r="P8" s="93"/>
    </row>
    <row r="9" spans="1:16" x14ac:dyDescent="0.25">
      <c r="A9" s="881"/>
      <c r="B9" s="63"/>
      <c r="C9" s="132"/>
      <c r="D9" s="132"/>
      <c r="E9" s="132"/>
      <c r="F9" s="132"/>
      <c r="G9" s="132"/>
      <c r="H9" s="132"/>
      <c r="I9" s="92"/>
      <c r="J9" s="92"/>
      <c r="K9" s="92"/>
      <c r="L9" s="92"/>
      <c r="M9" s="92"/>
      <c r="N9" s="132"/>
      <c r="O9" s="92"/>
      <c r="P9" s="92"/>
    </row>
    <row r="10" spans="1:16" x14ac:dyDescent="0.25">
      <c r="A10" s="881">
        <v>5211</v>
      </c>
      <c r="B10" s="63" t="s">
        <v>192</v>
      </c>
      <c r="C10" s="132">
        <v>11553.22</v>
      </c>
      <c r="D10" s="18">
        <v>9846.44</v>
      </c>
      <c r="E10" s="18">
        <v>11587.74</v>
      </c>
      <c r="F10" s="18">
        <v>9530.26</v>
      </c>
      <c r="G10" s="18">
        <v>7728.8</v>
      </c>
      <c r="H10" s="18">
        <v>8895.5</v>
      </c>
      <c r="I10" s="126">
        <v>10074.92</v>
      </c>
      <c r="J10" s="126">
        <v>8385.32</v>
      </c>
      <c r="K10" s="124">
        <v>12000</v>
      </c>
      <c r="L10" s="406">
        <v>7757.95</v>
      </c>
      <c r="M10" s="124">
        <v>12000</v>
      </c>
      <c r="N10" s="132">
        <v>2479.36</v>
      </c>
      <c r="O10" s="124"/>
      <c r="P10" s="19"/>
    </row>
    <row r="11" spans="1:16" x14ac:dyDescent="0.25">
      <c r="A11" s="881">
        <v>5214</v>
      </c>
      <c r="B11" s="63" t="s">
        <v>717</v>
      </c>
      <c r="C11" s="132">
        <v>2192.92</v>
      </c>
      <c r="D11" s="18">
        <v>81.84</v>
      </c>
      <c r="E11" s="18">
        <v>150.22</v>
      </c>
      <c r="F11" s="18">
        <v>157.93</v>
      </c>
      <c r="G11" s="18">
        <v>100.14</v>
      </c>
      <c r="H11" s="18">
        <v>359.33</v>
      </c>
      <c r="I11" s="126">
        <v>117.41</v>
      </c>
      <c r="J11" s="126">
        <v>150.12</v>
      </c>
      <c r="K11" s="124">
        <v>1000</v>
      </c>
      <c r="L11" s="406">
        <v>159.63</v>
      </c>
      <c r="M11" s="124">
        <v>1000</v>
      </c>
      <c r="N11" s="132">
        <v>27.74</v>
      </c>
      <c r="O11" s="124"/>
      <c r="P11" s="19"/>
    </row>
    <row r="12" spans="1:16" x14ac:dyDescent="0.25">
      <c r="A12" s="881">
        <v>5231</v>
      </c>
      <c r="B12" s="63" t="s">
        <v>194</v>
      </c>
      <c r="C12" s="132">
        <v>546</v>
      </c>
      <c r="D12" s="18">
        <v>591</v>
      </c>
      <c r="E12" s="18">
        <v>482</v>
      </c>
      <c r="F12" s="18">
        <v>582</v>
      </c>
      <c r="G12" s="18">
        <v>627</v>
      </c>
      <c r="H12" s="18">
        <v>627</v>
      </c>
      <c r="I12" s="126">
        <v>631</v>
      </c>
      <c r="J12" s="126">
        <v>634</v>
      </c>
      <c r="K12" s="124">
        <v>1000</v>
      </c>
      <c r="L12" s="406">
        <v>559</v>
      </c>
      <c r="M12" s="124">
        <v>1000</v>
      </c>
      <c r="N12" s="132">
        <v>276</v>
      </c>
      <c r="O12" s="124">
        <v>1000</v>
      </c>
      <c r="P12" s="19"/>
    </row>
    <row r="13" spans="1:16" x14ac:dyDescent="0.25">
      <c r="A13" s="881">
        <v>5232</v>
      </c>
      <c r="B13" s="63" t="s">
        <v>195</v>
      </c>
      <c r="C13" s="132">
        <v>360</v>
      </c>
      <c r="D13" s="18">
        <v>373.2</v>
      </c>
      <c r="E13" s="18">
        <v>373.2</v>
      </c>
      <c r="F13" s="18">
        <v>410.4</v>
      </c>
      <c r="G13" s="18">
        <v>480</v>
      </c>
      <c r="H13" s="18">
        <v>496.8</v>
      </c>
      <c r="I13" s="126">
        <v>848.98</v>
      </c>
      <c r="J13" s="126">
        <v>1143.2</v>
      </c>
      <c r="K13" s="124">
        <v>1200</v>
      </c>
      <c r="L13" s="406">
        <v>582.4</v>
      </c>
      <c r="M13" s="124">
        <v>1500</v>
      </c>
      <c r="N13" s="132">
        <v>303.8</v>
      </c>
      <c r="O13" s="124">
        <v>1500</v>
      </c>
      <c r="P13" s="19"/>
    </row>
    <row r="14" spans="1:16" x14ac:dyDescent="0.25">
      <c r="A14" s="881">
        <v>5242</v>
      </c>
      <c r="B14" s="63" t="s">
        <v>573</v>
      </c>
      <c r="C14" s="132">
        <v>3491.97</v>
      </c>
      <c r="D14" s="18">
        <v>21296.12</v>
      </c>
      <c r="E14" s="18">
        <v>20156.25</v>
      </c>
      <c r="F14" s="18">
        <v>6313.23</v>
      </c>
      <c r="G14" s="18">
        <v>19858.14</v>
      </c>
      <c r="H14" s="18">
        <v>20316.09</v>
      </c>
      <c r="I14" s="126">
        <v>30018.05</v>
      </c>
      <c r="J14" s="126">
        <v>9484.08</v>
      </c>
      <c r="K14" s="124">
        <v>30000</v>
      </c>
      <c r="L14" s="406">
        <v>19128.78</v>
      </c>
      <c r="M14" s="124">
        <v>30000</v>
      </c>
      <c r="N14" s="132">
        <v>6706.25</v>
      </c>
      <c r="O14" s="124">
        <v>30000</v>
      </c>
      <c r="P14" s="124"/>
    </row>
    <row r="15" spans="1:16" x14ac:dyDescent="0.25">
      <c r="A15" s="881">
        <v>5279</v>
      </c>
      <c r="B15" s="63" t="s">
        <v>131</v>
      </c>
      <c r="C15" s="132">
        <v>11000</v>
      </c>
      <c r="D15" s="18">
        <v>14000</v>
      </c>
      <c r="E15" s="18">
        <v>13000</v>
      </c>
      <c r="F15" s="18">
        <v>13250</v>
      </c>
      <c r="G15" s="18">
        <v>13000</v>
      </c>
      <c r="H15" s="18">
        <v>13000</v>
      </c>
      <c r="I15" s="126">
        <v>12000</v>
      </c>
      <c r="J15" s="126"/>
      <c r="K15" s="124"/>
      <c r="L15" s="406"/>
      <c r="M15" s="124"/>
      <c r="N15" s="132">
        <v>1869</v>
      </c>
      <c r="O15" s="124"/>
      <c r="P15" s="19"/>
    </row>
    <row r="16" spans="1:16" x14ac:dyDescent="0.25">
      <c r="A16" s="881">
        <v>5315</v>
      </c>
      <c r="B16" s="63" t="s">
        <v>140</v>
      </c>
      <c r="C16" s="132">
        <v>2095.8000000000002</v>
      </c>
      <c r="D16" s="18">
        <v>5730.83</v>
      </c>
      <c r="E16" s="18">
        <v>3042.64</v>
      </c>
      <c r="F16" s="18">
        <v>6426.3</v>
      </c>
      <c r="G16" s="18">
        <v>649</v>
      </c>
      <c r="H16" s="18">
        <v>7721.46</v>
      </c>
      <c r="I16" s="126">
        <v>383</v>
      </c>
      <c r="J16" s="126">
        <v>1804.5</v>
      </c>
      <c r="K16" s="124">
        <v>6000</v>
      </c>
      <c r="L16" s="406">
        <v>3252.04</v>
      </c>
      <c r="M16" s="124">
        <v>6000</v>
      </c>
      <c r="N16" s="132">
        <v>288.88</v>
      </c>
      <c r="O16" s="124">
        <v>6000</v>
      </c>
      <c r="P16" s="19"/>
    </row>
    <row r="17" spans="1:16" x14ac:dyDescent="0.25">
      <c r="A17" s="881">
        <v>5341</v>
      </c>
      <c r="B17" s="63" t="s">
        <v>141</v>
      </c>
      <c r="C17" s="132">
        <v>795.95</v>
      </c>
      <c r="D17" s="18">
        <v>1045.52</v>
      </c>
      <c r="E17" s="18">
        <v>1083.3800000000001</v>
      </c>
      <c r="F17" s="18">
        <v>1133.93</v>
      </c>
      <c r="G17" s="18">
        <v>1144.67</v>
      </c>
      <c r="H17" s="18">
        <v>606.79999999999995</v>
      </c>
      <c r="I17" s="126">
        <v>643.46</v>
      </c>
      <c r="J17" s="126">
        <v>668.35</v>
      </c>
      <c r="K17" s="124">
        <v>750</v>
      </c>
      <c r="L17" s="406">
        <v>677.13</v>
      </c>
      <c r="M17" s="124">
        <v>750</v>
      </c>
      <c r="N17" s="132"/>
      <c r="O17" s="124">
        <v>750</v>
      </c>
      <c r="P17" s="19"/>
    </row>
    <row r="18" spans="1:16" hidden="1" x14ac:dyDescent="0.25">
      <c r="A18" s="881">
        <v>5420</v>
      </c>
      <c r="B18" s="63" t="s">
        <v>144</v>
      </c>
      <c r="C18" s="132">
        <v>41.46</v>
      </c>
      <c r="D18" s="18">
        <v>0</v>
      </c>
      <c r="E18" s="18"/>
      <c r="F18" s="18"/>
      <c r="G18" s="18"/>
      <c r="H18" s="18"/>
      <c r="I18" s="126">
        <v>0</v>
      </c>
      <c r="J18" s="126"/>
      <c r="K18" s="124"/>
      <c r="L18" s="406"/>
      <c r="M18" s="124"/>
      <c r="N18" s="132"/>
      <c r="O18" s="124"/>
      <c r="P18" s="19"/>
    </row>
    <row r="19" spans="1:16" ht="13.8" thickBot="1" x14ac:dyDescent="0.3">
      <c r="A19" s="881">
        <v>5451</v>
      </c>
      <c r="B19" s="63" t="s">
        <v>202</v>
      </c>
      <c r="C19" s="131">
        <v>749.18</v>
      </c>
      <c r="D19" s="15">
        <v>663.39</v>
      </c>
      <c r="E19" s="15">
        <v>612.65</v>
      </c>
      <c r="F19" s="15">
        <v>739.69</v>
      </c>
      <c r="G19" s="15">
        <v>600.12</v>
      </c>
      <c r="H19" s="15">
        <v>789.61</v>
      </c>
      <c r="I19" s="318">
        <v>381.68</v>
      </c>
      <c r="J19" s="318"/>
      <c r="K19" s="123">
        <v>500</v>
      </c>
      <c r="L19" s="407">
        <v>25.72</v>
      </c>
      <c r="M19" s="123">
        <v>500</v>
      </c>
      <c r="N19" s="131"/>
      <c r="O19" s="123">
        <v>500</v>
      </c>
      <c r="P19" s="16"/>
    </row>
    <row r="20" spans="1:16" x14ac:dyDescent="0.25">
      <c r="A20" s="881"/>
      <c r="B20" s="17" t="s">
        <v>449</v>
      </c>
      <c r="C20" s="18">
        <f t="shared" ref="C20:N20" si="0">SUM(C10:C19)</f>
        <v>32826.5</v>
      </c>
      <c r="D20" s="18">
        <f t="shared" si="0"/>
        <v>53628.34</v>
      </c>
      <c r="E20" s="18">
        <f t="shared" si="0"/>
        <v>50488.08</v>
      </c>
      <c r="F20" s="18">
        <f>SUM(F10:F19)</f>
        <v>38543.740000000005</v>
      </c>
      <c r="G20" s="18">
        <f>SUM(G10:G19)</f>
        <v>44187.87</v>
      </c>
      <c r="H20" s="18">
        <f>SUM(H10:H19)</f>
        <v>52812.590000000004</v>
      </c>
      <c r="I20" s="126">
        <f>SUM(I10:I19)</f>
        <v>55098.5</v>
      </c>
      <c r="J20" s="126">
        <f>SUM(J10:J19)</f>
        <v>22269.57</v>
      </c>
      <c r="K20" s="124">
        <f t="shared" ref="K20:M20" si="1">SUM(K10:K19)</f>
        <v>52450</v>
      </c>
      <c r="L20" s="126">
        <f t="shared" si="1"/>
        <v>32142.65</v>
      </c>
      <c r="M20" s="124">
        <f t="shared" si="1"/>
        <v>52750</v>
      </c>
      <c r="N20" s="18">
        <f t="shared" si="0"/>
        <v>11951.029999999999</v>
      </c>
      <c r="O20" s="124">
        <f t="shared" ref="O20" si="2">SUM(O10:O19)</f>
        <v>39750</v>
      </c>
      <c r="P20" s="124">
        <f>SUM(P10:P19)</f>
        <v>0</v>
      </c>
    </row>
    <row r="21" spans="1:16" x14ac:dyDescent="0.25">
      <c r="A21" s="881"/>
      <c r="B21" s="12"/>
      <c r="C21" s="18"/>
      <c r="D21" s="18"/>
      <c r="E21" s="18"/>
      <c r="F21" s="18"/>
      <c r="G21" s="18"/>
      <c r="H21" s="18"/>
      <c r="I21" s="18"/>
      <c r="J21" s="18"/>
      <c r="K21" s="36"/>
      <c r="L21" s="18"/>
      <c r="M21" s="36"/>
      <c r="N21" s="18"/>
      <c r="O21" s="36"/>
      <c r="P21" s="36"/>
    </row>
    <row r="22" spans="1:16" x14ac:dyDescent="0.25">
      <c r="A22" s="881">
        <v>5710</v>
      </c>
      <c r="B22" s="12" t="s">
        <v>228</v>
      </c>
      <c r="C22" s="18">
        <v>15000</v>
      </c>
      <c r="D22" s="18">
        <v>15000</v>
      </c>
      <c r="E22" s="18">
        <v>15000</v>
      </c>
      <c r="F22" s="18">
        <v>10000</v>
      </c>
      <c r="G22" s="18">
        <v>1000</v>
      </c>
      <c r="H22" s="18">
        <v>10000</v>
      </c>
      <c r="I22" s="126">
        <v>10000</v>
      </c>
      <c r="J22" s="126">
        <v>10000</v>
      </c>
      <c r="K22" s="249">
        <v>10000</v>
      </c>
      <c r="L22" s="126">
        <v>10000</v>
      </c>
      <c r="M22" s="249">
        <v>10000</v>
      </c>
      <c r="N22" s="18"/>
      <c r="O22" s="249"/>
      <c r="P22" s="249"/>
    </row>
    <row r="23" spans="1:16" x14ac:dyDescent="0.25">
      <c r="A23" s="881">
        <v>5711</v>
      </c>
      <c r="B23" s="12" t="s">
        <v>395</v>
      </c>
      <c r="C23" s="13">
        <v>15000</v>
      </c>
      <c r="D23" s="13">
        <v>15000</v>
      </c>
      <c r="E23" s="13">
        <v>15000</v>
      </c>
      <c r="F23" s="13">
        <v>15000</v>
      </c>
      <c r="G23" s="13">
        <v>15000</v>
      </c>
      <c r="H23" s="13">
        <v>15000</v>
      </c>
      <c r="I23" s="126">
        <v>15000</v>
      </c>
      <c r="J23" s="126">
        <v>15000</v>
      </c>
      <c r="K23" s="249">
        <v>15000</v>
      </c>
      <c r="L23" s="126">
        <v>15000</v>
      </c>
      <c r="M23" s="249">
        <v>15000</v>
      </c>
      <c r="N23" s="18">
        <v>15000</v>
      </c>
      <c r="O23" s="249">
        <v>10000</v>
      </c>
      <c r="P23" s="42"/>
    </row>
    <row r="24" spans="1:16" x14ac:dyDescent="0.25">
      <c r="A24" s="881">
        <v>5751</v>
      </c>
      <c r="B24" s="12" t="s">
        <v>229</v>
      </c>
      <c r="C24" s="13">
        <v>5125</v>
      </c>
      <c r="D24" s="13">
        <v>4562.5</v>
      </c>
      <c r="E24" s="13">
        <v>3962.5</v>
      </c>
      <c r="F24" s="13">
        <v>3325</v>
      </c>
      <c r="G24" s="13">
        <v>2875</v>
      </c>
      <c r="H24" s="13">
        <v>2425</v>
      </c>
      <c r="I24" s="126">
        <v>1975</v>
      </c>
      <c r="J24" s="126">
        <v>1500</v>
      </c>
      <c r="K24" s="249">
        <v>1000</v>
      </c>
      <c r="L24" s="126">
        <v>1000</v>
      </c>
      <c r="M24" s="249">
        <v>500</v>
      </c>
      <c r="N24" s="13">
        <v>250</v>
      </c>
      <c r="O24" s="249"/>
      <c r="P24" s="248"/>
    </row>
    <row r="25" spans="1:16" ht="13.8" thickBot="1" x14ac:dyDescent="0.3">
      <c r="A25" s="881">
        <v>5752</v>
      </c>
      <c r="B25" s="12" t="s">
        <v>396</v>
      </c>
      <c r="C25" s="15">
        <v>6775</v>
      </c>
      <c r="D25" s="15">
        <f>3200+2825</f>
        <v>6025</v>
      </c>
      <c r="E25" s="15">
        <v>5275</v>
      </c>
      <c r="F25" s="15">
        <v>4525</v>
      </c>
      <c r="G25" s="15">
        <v>3775</v>
      </c>
      <c r="H25" s="15">
        <v>3100</v>
      </c>
      <c r="I25" s="318">
        <v>2500</v>
      </c>
      <c r="J25" s="318">
        <v>1900</v>
      </c>
      <c r="K25" s="446">
        <v>1300</v>
      </c>
      <c r="L25" s="318">
        <v>1300</v>
      </c>
      <c r="M25" s="446">
        <v>700</v>
      </c>
      <c r="N25" s="15">
        <v>500</v>
      </c>
      <c r="O25" s="446">
        <v>200</v>
      </c>
      <c r="P25" s="43"/>
    </row>
    <row r="26" spans="1:16" x14ac:dyDescent="0.25">
      <c r="A26" s="881"/>
      <c r="B26" s="17" t="s">
        <v>465</v>
      </c>
      <c r="C26" s="18">
        <f t="shared" ref="C26:N26" si="3">SUM(C22:C25)</f>
        <v>41900</v>
      </c>
      <c r="D26" s="18">
        <f t="shared" si="3"/>
        <v>40587.5</v>
      </c>
      <c r="E26" s="18">
        <f t="shared" si="3"/>
        <v>39237.5</v>
      </c>
      <c r="F26" s="18">
        <f>SUM(F22:F25)</f>
        <v>32850</v>
      </c>
      <c r="G26" s="18">
        <f>SUM(G22:G25)</f>
        <v>22650</v>
      </c>
      <c r="H26" s="18">
        <f>SUM(H22:H25)</f>
        <v>30525</v>
      </c>
      <c r="I26" s="18">
        <f t="shared" si="3"/>
        <v>29475</v>
      </c>
      <c r="J26" s="18">
        <f t="shared" ref="J26" si="4">SUM(J22:J25)</f>
        <v>28400</v>
      </c>
      <c r="K26" s="36">
        <f t="shared" ref="K26:M26" si="5">SUM(K22:K25)</f>
        <v>27300</v>
      </c>
      <c r="L26" s="18">
        <f t="shared" si="5"/>
        <v>27300</v>
      </c>
      <c r="M26" s="36">
        <f t="shared" si="5"/>
        <v>26200</v>
      </c>
      <c r="N26" s="18">
        <f t="shared" si="3"/>
        <v>15750</v>
      </c>
      <c r="O26" s="36">
        <f t="shared" ref="O26" si="6">SUM(O22:O25)</f>
        <v>10200</v>
      </c>
      <c r="P26" s="36">
        <f>SUM(P22:P25)</f>
        <v>0</v>
      </c>
    </row>
    <row r="27" spans="1:16" x14ac:dyDescent="0.25">
      <c r="A27" s="881"/>
      <c r="B27" s="17"/>
      <c r="C27" s="18"/>
      <c r="D27" s="18"/>
      <c r="E27" s="18"/>
      <c r="F27" s="18"/>
      <c r="G27" s="18"/>
      <c r="H27" s="18"/>
      <c r="I27" s="18"/>
      <c r="J27" s="18"/>
      <c r="K27" s="36"/>
      <c r="L27" s="18"/>
      <c r="M27" s="36"/>
      <c r="N27" s="18"/>
      <c r="O27" s="36"/>
      <c r="P27" s="36"/>
    </row>
    <row r="28" spans="1:16" x14ac:dyDescent="0.25">
      <c r="A28" s="881">
        <v>5991</v>
      </c>
      <c r="B28" s="237" t="s">
        <v>1070</v>
      </c>
      <c r="C28" s="126"/>
      <c r="D28" s="126"/>
      <c r="E28" s="126"/>
      <c r="F28" s="126"/>
      <c r="G28" s="126">
        <v>3000</v>
      </c>
      <c r="H28" s="126"/>
      <c r="I28" s="126"/>
      <c r="J28" s="126"/>
      <c r="K28" s="249"/>
      <c r="L28" s="126"/>
      <c r="M28" s="249"/>
      <c r="N28" s="126"/>
      <c r="O28" s="249"/>
      <c r="P28" s="249"/>
    </row>
    <row r="29" spans="1:16" x14ac:dyDescent="0.25">
      <c r="A29" s="881"/>
      <c r="B29" s="12"/>
      <c r="C29" s="13"/>
      <c r="D29" s="13"/>
      <c r="E29" s="13"/>
      <c r="F29" s="13"/>
      <c r="G29" s="13"/>
      <c r="H29" s="13"/>
      <c r="I29" s="13"/>
      <c r="J29" s="13"/>
      <c r="K29" s="42"/>
      <c r="L29" s="13"/>
      <c r="M29" s="42"/>
      <c r="N29" s="13"/>
      <c r="O29" s="42"/>
      <c r="P29" s="42"/>
    </row>
    <row r="30" spans="1:16" ht="13.8" thickBot="1" x14ac:dyDescent="0.3">
      <c r="A30" s="882"/>
      <c r="B30" s="20" t="s">
        <v>406</v>
      </c>
      <c r="C30" s="21">
        <f>+C26+C20</f>
        <v>74726.5</v>
      </c>
      <c r="D30" s="21">
        <f>+D26+D20</f>
        <v>94215.84</v>
      </c>
      <c r="E30" s="21">
        <f>+E26+E20</f>
        <v>89725.58</v>
      </c>
      <c r="F30" s="21">
        <f>+F26+F20</f>
        <v>71393.740000000005</v>
      </c>
      <c r="G30" s="21">
        <f t="shared" ref="G30:O30" si="7">+G26+G20+G28</f>
        <v>69837.87</v>
      </c>
      <c r="H30" s="21">
        <f t="shared" si="7"/>
        <v>83337.59</v>
      </c>
      <c r="I30" s="21">
        <f t="shared" si="7"/>
        <v>84573.5</v>
      </c>
      <c r="J30" s="21">
        <f t="shared" ref="J30" si="8">+J26+J20+J28</f>
        <v>50669.57</v>
      </c>
      <c r="K30" s="41">
        <f t="shared" si="7"/>
        <v>79750</v>
      </c>
      <c r="L30" s="21">
        <f t="shared" si="7"/>
        <v>59442.65</v>
      </c>
      <c r="M30" s="41">
        <f t="shared" si="7"/>
        <v>78950</v>
      </c>
      <c r="N30" s="21">
        <f t="shared" si="7"/>
        <v>27701.03</v>
      </c>
      <c r="O30" s="41">
        <f t="shared" si="7"/>
        <v>49950</v>
      </c>
      <c r="P30" s="41">
        <f>+O30</f>
        <v>49950</v>
      </c>
    </row>
    <row r="31" spans="1:16" ht="13.8" thickTop="1" x14ac:dyDescent="0.25">
      <c r="A31" s="905"/>
      <c r="B31" s="83"/>
      <c r="C31" s="24"/>
      <c r="D31" s="24"/>
      <c r="E31" s="24"/>
      <c r="F31" s="24"/>
      <c r="G31" s="24"/>
      <c r="H31" s="24"/>
      <c r="I31" s="24"/>
      <c r="J31" s="24"/>
      <c r="K31" s="24"/>
      <c r="L31" s="24"/>
      <c r="M31" s="24"/>
      <c r="N31" s="25"/>
      <c r="O31" s="24"/>
      <c r="P31" s="23"/>
    </row>
    <row r="32" spans="1:16" x14ac:dyDescent="0.25">
      <c r="A32" s="909"/>
      <c r="B32" s="148"/>
      <c r="C32" s="325"/>
      <c r="D32" s="325"/>
      <c r="E32" s="325"/>
      <c r="F32" s="325"/>
      <c r="G32" s="325"/>
      <c r="H32" s="325"/>
      <c r="I32" s="325"/>
      <c r="J32" s="24"/>
      <c r="K32" s="24"/>
      <c r="L32" s="24"/>
      <c r="M32" s="24"/>
      <c r="N32" s="25"/>
      <c r="O32" s="24"/>
      <c r="P32" s="27"/>
    </row>
    <row r="33" spans="1:16" ht="15.6" thickBot="1" x14ac:dyDescent="0.3">
      <c r="A33" s="898"/>
      <c r="B33" s="325"/>
      <c r="C33" s="372"/>
      <c r="D33" s="372"/>
      <c r="E33" s="372"/>
      <c r="F33" s="372"/>
      <c r="G33" s="372"/>
      <c r="H33" s="372"/>
      <c r="I33" s="373"/>
      <c r="J33" s="373"/>
      <c r="K33" s="373"/>
      <c r="L33" s="373"/>
      <c r="M33" s="373"/>
      <c r="N33" s="372"/>
      <c r="O33" s="120"/>
      <c r="P33" s="325"/>
    </row>
    <row r="34" spans="1:16" ht="13.8" thickTop="1" x14ac:dyDescent="0.25">
      <c r="A34" s="893"/>
      <c r="B34" s="452"/>
      <c r="C34" s="453" t="s">
        <v>127</v>
      </c>
      <c r="D34" s="454" t="s">
        <v>127</v>
      </c>
      <c r="E34" s="454" t="s">
        <v>127</v>
      </c>
      <c r="K34" s="455" t="s">
        <v>547</v>
      </c>
      <c r="L34" s="456" t="s">
        <v>9</v>
      </c>
      <c r="M34" s="457" t="s">
        <v>1073</v>
      </c>
      <c r="N34" s="456" t="s">
        <v>686</v>
      </c>
      <c r="O34" s="681"/>
      <c r="P34" s="457"/>
    </row>
    <row r="35" spans="1:16" ht="13.8" thickBot="1" x14ac:dyDescent="0.3">
      <c r="A35" s="894" t="s">
        <v>128</v>
      </c>
      <c r="B35" s="459"/>
      <c r="C35" s="508" t="s">
        <v>347</v>
      </c>
      <c r="D35" s="508" t="s">
        <v>722</v>
      </c>
      <c r="E35" s="462" t="s">
        <v>737</v>
      </c>
      <c r="K35" s="462" t="s">
        <v>909</v>
      </c>
      <c r="L35" s="462" t="s">
        <v>910</v>
      </c>
      <c r="M35" s="461" t="s">
        <v>1075</v>
      </c>
      <c r="N35" s="463" t="s">
        <v>1075</v>
      </c>
      <c r="O35" s="682"/>
      <c r="P35" s="462"/>
    </row>
    <row r="36" spans="1:16" ht="13.8" thickTop="1" x14ac:dyDescent="0.25">
      <c r="A36" s="907">
        <v>5211</v>
      </c>
      <c r="B36" s="501" t="s">
        <v>192</v>
      </c>
      <c r="C36" s="513">
        <v>11553.22</v>
      </c>
      <c r="D36" s="468">
        <v>9846.44</v>
      </c>
      <c r="E36" s="468">
        <v>11587.74</v>
      </c>
      <c r="K36" s="469">
        <f t="shared" ref="K36:K45" si="9">+M10</f>
        <v>12000</v>
      </c>
      <c r="L36" s="496">
        <f t="shared" ref="L36:L45" si="10">+O10</f>
        <v>0</v>
      </c>
      <c r="M36" s="469">
        <f t="shared" ref="M36:M49" si="11">+L36-K36</f>
        <v>-12000</v>
      </c>
      <c r="N36" s="477">
        <f t="shared" ref="N36:N49" si="12">IF(K36+L36&lt;&gt;0,IF(K36&lt;&gt;0,IF(M36&lt;&gt;0,ROUND((+M36/K36),4),""),1),"")</f>
        <v>-1</v>
      </c>
      <c r="O36" s="683" t="s">
        <v>1809</v>
      </c>
      <c r="P36" s="510"/>
    </row>
    <row r="37" spans="1:16" x14ac:dyDescent="0.25">
      <c r="A37" s="907">
        <v>5214</v>
      </c>
      <c r="B37" s="501" t="s">
        <v>717</v>
      </c>
      <c r="C37" s="513">
        <v>2192.92</v>
      </c>
      <c r="D37" s="468">
        <v>81.84</v>
      </c>
      <c r="E37" s="468">
        <v>150.22</v>
      </c>
      <c r="K37" s="469">
        <f t="shared" si="9"/>
        <v>1000</v>
      </c>
      <c r="L37" s="496">
        <f t="shared" si="10"/>
        <v>0</v>
      </c>
      <c r="M37" s="475">
        <f t="shared" si="11"/>
        <v>-1000</v>
      </c>
      <c r="N37" s="477">
        <f t="shared" si="12"/>
        <v>-1</v>
      </c>
      <c r="O37" s="684" t="s">
        <v>1809</v>
      </c>
      <c r="P37" s="471"/>
    </row>
    <row r="38" spans="1:16" x14ac:dyDescent="0.25">
      <c r="A38" s="907">
        <v>5231</v>
      </c>
      <c r="B38" s="501" t="s">
        <v>194</v>
      </c>
      <c r="C38" s="513">
        <v>546</v>
      </c>
      <c r="D38" s="468">
        <v>591</v>
      </c>
      <c r="E38" s="468">
        <v>482</v>
      </c>
      <c r="K38" s="469">
        <f t="shared" si="9"/>
        <v>1000</v>
      </c>
      <c r="L38" s="496">
        <f t="shared" si="10"/>
        <v>1000</v>
      </c>
      <c r="M38" s="475">
        <f t="shared" si="11"/>
        <v>0</v>
      </c>
      <c r="N38" s="477" t="str">
        <f t="shared" si="12"/>
        <v/>
      </c>
      <c r="O38" s="684"/>
      <c r="P38" s="471"/>
    </row>
    <row r="39" spans="1:16" x14ac:dyDescent="0.25">
      <c r="A39" s="907">
        <v>5232</v>
      </c>
      <c r="B39" s="501" t="s">
        <v>195</v>
      </c>
      <c r="C39" s="513">
        <v>360</v>
      </c>
      <c r="D39" s="468">
        <v>373.2</v>
      </c>
      <c r="E39" s="468">
        <v>373.2</v>
      </c>
      <c r="K39" s="469">
        <f t="shared" si="9"/>
        <v>1500</v>
      </c>
      <c r="L39" s="496">
        <f t="shared" si="10"/>
        <v>1500</v>
      </c>
      <c r="M39" s="475">
        <f t="shared" si="11"/>
        <v>0</v>
      </c>
      <c r="N39" s="477" t="str">
        <f t="shared" si="12"/>
        <v/>
      </c>
      <c r="O39" s="684"/>
      <c r="P39" s="471"/>
    </row>
    <row r="40" spans="1:16" x14ac:dyDescent="0.25">
      <c r="A40" s="907">
        <v>5242</v>
      </c>
      <c r="B40" s="501" t="s">
        <v>573</v>
      </c>
      <c r="C40" s="513">
        <v>3491.97</v>
      </c>
      <c r="D40" s="468">
        <v>21296.12</v>
      </c>
      <c r="E40" s="468">
        <v>20156.25</v>
      </c>
      <c r="K40" s="469">
        <f t="shared" si="9"/>
        <v>30000</v>
      </c>
      <c r="L40" s="496">
        <f t="shared" si="10"/>
        <v>30000</v>
      </c>
      <c r="M40" s="475">
        <f t="shared" si="11"/>
        <v>0</v>
      </c>
      <c r="N40" s="477" t="str">
        <f t="shared" si="12"/>
        <v/>
      </c>
      <c r="O40" s="684"/>
      <c r="P40" s="471"/>
    </row>
    <row r="41" spans="1:16" x14ac:dyDescent="0.25">
      <c r="A41" s="907">
        <v>5279</v>
      </c>
      <c r="B41" s="501" t="s">
        <v>131</v>
      </c>
      <c r="C41" s="513">
        <v>11000</v>
      </c>
      <c r="D41" s="468">
        <v>14000</v>
      </c>
      <c r="E41" s="468">
        <v>13000</v>
      </c>
      <c r="K41" s="469">
        <f t="shared" si="9"/>
        <v>0</v>
      </c>
      <c r="L41" s="496">
        <f t="shared" si="10"/>
        <v>0</v>
      </c>
      <c r="M41" s="475">
        <f t="shared" si="11"/>
        <v>0</v>
      </c>
      <c r="N41" s="477" t="str">
        <f t="shared" si="12"/>
        <v/>
      </c>
      <c r="O41" s="684"/>
      <c r="P41" s="471"/>
    </row>
    <row r="42" spans="1:16" x14ac:dyDescent="0.25">
      <c r="A42" s="907">
        <v>5315</v>
      </c>
      <c r="B42" s="501" t="s">
        <v>140</v>
      </c>
      <c r="C42" s="513">
        <v>2095.8000000000002</v>
      </c>
      <c r="D42" s="468">
        <v>5730.83</v>
      </c>
      <c r="E42" s="468">
        <v>3042.64</v>
      </c>
      <c r="K42" s="469">
        <f t="shared" si="9"/>
        <v>6000</v>
      </c>
      <c r="L42" s="496">
        <f t="shared" si="10"/>
        <v>6000</v>
      </c>
      <c r="M42" s="475">
        <f t="shared" si="11"/>
        <v>0</v>
      </c>
      <c r="N42" s="477" t="str">
        <f t="shared" si="12"/>
        <v/>
      </c>
      <c r="O42" s="684"/>
      <c r="P42" s="471"/>
    </row>
    <row r="43" spans="1:16" x14ac:dyDescent="0.25">
      <c r="A43" s="907">
        <v>5341</v>
      </c>
      <c r="B43" s="501" t="s">
        <v>141</v>
      </c>
      <c r="C43" s="513">
        <v>795.95</v>
      </c>
      <c r="D43" s="468">
        <v>1045.52</v>
      </c>
      <c r="E43" s="468">
        <v>1083.3800000000001</v>
      </c>
      <c r="K43" s="469">
        <f t="shared" si="9"/>
        <v>750</v>
      </c>
      <c r="L43" s="496">
        <f t="shared" si="10"/>
        <v>750</v>
      </c>
      <c r="M43" s="475">
        <f t="shared" si="11"/>
        <v>0</v>
      </c>
      <c r="N43" s="477" t="str">
        <f t="shared" si="12"/>
        <v/>
      </c>
      <c r="O43" s="684"/>
      <c r="P43" s="471"/>
    </row>
    <row r="44" spans="1:16" x14ac:dyDescent="0.25">
      <c r="A44" s="907">
        <v>5420</v>
      </c>
      <c r="B44" s="501" t="s">
        <v>144</v>
      </c>
      <c r="C44" s="513">
        <v>41.46</v>
      </c>
      <c r="D44" s="468">
        <v>0</v>
      </c>
      <c r="E44" s="468"/>
      <c r="K44" s="469">
        <f t="shared" si="9"/>
        <v>0</v>
      </c>
      <c r="L44" s="496">
        <f t="shared" si="10"/>
        <v>0</v>
      </c>
      <c r="M44" s="475">
        <f t="shared" si="11"/>
        <v>0</v>
      </c>
      <c r="N44" s="477" t="str">
        <f t="shared" si="12"/>
        <v/>
      </c>
      <c r="O44" s="684"/>
      <c r="P44" s="471"/>
    </row>
    <row r="45" spans="1:16" ht="13.8" thickBot="1" x14ac:dyDescent="0.3">
      <c r="A45" s="907">
        <v>5451</v>
      </c>
      <c r="B45" s="501" t="s">
        <v>202</v>
      </c>
      <c r="C45" s="518">
        <v>749.18</v>
      </c>
      <c r="D45" s="474">
        <v>663.39</v>
      </c>
      <c r="E45" s="474">
        <v>612.65</v>
      </c>
      <c r="K45" s="469">
        <f t="shared" si="9"/>
        <v>500</v>
      </c>
      <c r="L45" s="496">
        <f t="shared" si="10"/>
        <v>500</v>
      </c>
      <c r="M45" s="475">
        <f t="shared" si="11"/>
        <v>0</v>
      </c>
      <c r="N45" s="477" t="str">
        <f t="shared" si="12"/>
        <v/>
      </c>
      <c r="O45" s="684"/>
      <c r="P45" s="471"/>
    </row>
    <row r="46" spans="1:16" x14ac:dyDescent="0.25">
      <c r="A46" s="907">
        <v>5710</v>
      </c>
      <c r="B46" s="472" t="s">
        <v>228</v>
      </c>
      <c r="C46" s="468">
        <v>15000</v>
      </c>
      <c r="D46" s="468">
        <v>15000</v>
      </c>
      <c r="E46" s="468">
        <v>15000</v>
      </c>
      <c r="K46" s="497">
        <f>+M22</f>
        <v>10000</v>
      </c>
      <c r="L46" s="497">
        <f>+O22</f>
        <v>0</v>
      </c>
      <c r="M46" s="475">
        <f t="shared" si="11"/>
        <v>-10000</v>
      </c>
      <c r="N46" s="477">
        <f t="shared" si="12"/>
        <v>-1</v>
      </c>
      <c r="O46" s="685" t="s">
        <v>1801</v>
      </c>
      <c r="P46" s="519"/>
    </row>
    <row r="47" spans="1:16" x14ac:dyDescent="0.25">
      <c r="A47" s="907">
        <v>5711</v>
      </c>
      <c r="B47" s="472" t="s">
        <v>395</v>
      </c>
      <c r="C47" s="476">
        <v>15000</v>
      </c>
      <c r="D47" s="476">
        <v>15000</v>
      </c>
      <c r="E47" s="476">
        <v>15000</v>
      </c>
      <c r="K47" s="497">
        <f>+M23</f>
        <v>15000</v>
      </c>
      <c r="L47" s="497">
        <f>+O23</f>
        <v>10000</v>
      </c>
      <c r="M47" s="475">
        <f t="shared" si="11"/>
        <v>-5000</v>
      </c>
      <c r="N47" s="477">
        <f t="shared" si="12"/>
        <v>-0.33329999999999999</v>
      </c>
      <c r="O47" s="685" t="s">
        <v>1802</v>
      </c>
      <c r="P47" s="519"/>
    </row>
    <row r="48" spans="1:16" x14ac:dyDescent="0.25">
      <c r="A48" s="907">
        <v>5751</v>
      </c>
      <c r="B48" s="472" t="s">
        <v>229</v>
      </c>
      <c r="C48" s="476">
        <v>5125</v>
      </c>
      <c r="D48" s="476">
        <v>4562.5</v>
      </c>
      <c r="E48" s="476">
        <v>3962.5</v>
      </c>
      <c r="K48" s="497">
        <f>+M24</f>
        <v>500</v>
      </c>
      <c r="L48" s="497">
        <f>+O24</f>
        <v>0</v>
      </c>
      <c r="M48" s="475">
        <f t="shared" si="11"/>
        <v>-500</v>
      </c>
      <c r="N48" s="477">
        <f t="shared" si="12"/>
        <v>-1</v>
      </c>
      <c r="O48" s="685" t="s">
        <v>1801</v>
      </c>
      <c r="P48" s="519"/>
    </row>
    <row r="49" spans="1:16" ht="13.8" thickBot="1" x14ac:dyDescent="0.3">
      <c r="A49" s="907">
        <v>5752</v>
      </c>
      <c r="B49" s="472" t="s">
        <v>396</v>
      </c>
      <c r="C49" s="474">
        <v>6775</v>
      </c>
      <c r="D49" s="474">
        <f>3200+2825</f>
        <v>6025</v>
      </c>
      <c r="E49" s="474">
        <v>5275</v>
      </c>
      <c r="K49" s="497">
        <f>+M25</f>
        <v>700</v>
      </c>
      <c r="L49" s="497">
        <f>+O25</f>
        <v>200</v>
      </c>
      <c r="M49" s="475">
        <f t="shared" si="11"/>
        <v>-500</v>
      </c>
      <c r="N49" s="477">
        <f t="shared" si="12"/>
        <v>-0.71430000000000005</v>
      </c>
      <c r="O49" s="685" t="s">
        <v>1802</v>
      </c>
      <c r="P49" s="519"/>
    </row>
    <row r="50" spans="1:16" x14ac:dyDescent="0.25">
      <c r="K50" s="114"/>
    </row>
    <row r="51" spans="1:16" x14ac:dyDescent="0.25">
      <c r="B51" s="4" t="s">
        <v>1363</v>
      </c>
      <c r="C51" s="23"/>
      <c r="D51" s="23"/>
      <c r="E51" s="23"/>
      <c r="F51" s="23"/>
      <c r="G51" s="23"/>
      <c r="K51" s="742">
        <f>SUM(K36:K50)</f>
        <v>78950</v>
      </c>
      <c r="L51" s="742">
        <f>SUM(L36:L50)</f>
        <v>49950</v>
      </c>
      <c r="M51" s="202">
        <f>+L51-K51</f>
        <v>-29000</v>
      </c>
      <c r="N51" s="743">
        <f>IF(K51+L51&lt;&gt;0,IF(K51&lt;&gt;0,IF(M51&lt;&gt;0,ROUND((+M51/K51),4),""),1),"")</f>
        <v>-0.36730000000000002</v>
      </c>
    </row>
  </sheetData>
  <phoneticPr fontId="0" type="noConversion"/>
  <hyperlinks>
    <hyperlink ref="A1" location="'Working Budget with funding det'!A1" display="Main " xr:uid="{00000000-0004-0000-3500-000000000000}"/>
    <hyperlink ref="B1" location="'Table of Contents'!A1" display="TOC" xr:uid="{00000000-0004-0000-3500-000001000000}"/>
  </hyperlinks>
  <pageMargins left="0.75" right="0.75" top="1" bottom="1" header="0.5" footer="0.5"/>
  <pageSetup scale="93" fitToHeight="2" orientation="landscape" horizontalDpi="1200" verticalDpi="1200" r:id="rId1"/>
  <headerFooter alignWithMargins="0">
    <oddFooter>&amp;L&amp;D  &amp;T&amp;C&amp;F&amp;R&amp;A</oddFooter>
  </headerFooter>
  <rowBreaks count="1" manualBreakCount="1">
    <brk id="33" max="16"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92D050"/>
    <pageSetUpPr fitToPage="1"/>
  </sheetPr>
  <dimension ref="A1:T136"/>
  <sheetViews>
    <sheetView workbookViewId="0">
      <pane ySplit="7" topLeftCell="A33" activePane="bottomLeft" state="frozen"/>
      <selection activeCell="P43" sqref="P43"/>
      <selection pane="bottomLeft" activeCell="A48" sqref="A48:A49"/>
    </sheetView>
  </sheetViews>
  <sheetFormatPr defaultRowHeight="13.2" x14ac:dyDescent="0.25"/>
  <cols>
    <col min="1" max="1" width="14.33203125" style="885" customWidth="1"/>
    <col min="2" max="2" width="36.6640625" customWidth="1"/>
    <col min="3" max="3" width="14.44140625" style="1" hidden="1" customWidth="1"/>
    <col min="4" max="10" width="14.44140625" style="114" hidden="1" customWidth="1"/>
    <col min="11" max="13" width="14.44140625" style="114" customWidth="1"/>
    <col min="14" max="14" width="14.44140625" customWidth="1"/>
    <col min="15" max="16" width="14.44140625" style="1" customWidth="1"/>
    <col min="17" max="17" width="16" customWidth="1"/>
    <col min="18" max="18" width="16" hidden="1" customWidth="1"/>
    <col min="19" max="19" width="14.44140625" customWidth="1"/>
    <col min="20" max="20" width="14.6640625" style="2" customWidth="1"/>
  </cols>
  <sheetData>
    <row r="1" spans="1:20" x14ac:dyDescent="0.25">
      <c r="A1" s="874" t="s">
        <v>1021</v>
      </c>
      <c r="B1" s="371" t="s">
        <v>1348</v>
      </c>
      <c r="H1" s="224" t="s">
        <v>1406</v>
      </c>
      <c r="P1"/>
    </row>
    <row r="2" spans="1:20" ht="13.8" x14ac:dyDescent="0.25">
      <c r="A2" s="875" t="s">
        <v>262</v>
      </c>
      <c r="B2" s="45"/>
      <c r="E2" s="141"/>
      <c r="I2" s="141" t="s">
        <v>257</v>
      </c>
      <c r="J2" s="141"/>
      <c r="K2" s="141"/>
      <c r="L2" s="141"/>
      <c r="M2" s="141"/>
      <c r="N2" s="61" t="s">
        <v>370</v>
      </c>
      <c r="P2" s="46" t="s">
        <v>488</v>
      </c>
    </row>
    <row r="3" spans="1:20" ht="13.8" thickBot="1" x14ac:dyDescent="0.3">
      <c r="A3" s="876"/>
      <c r="B3" s="4"/>
      <c r="C3" s="23"/>
      <c r="D3" s="23"/>
      <c r="E3" s="23"/>
      <c r="F3" s="23"/>
      <c r="G3" s="23"/>
      <c r="H3" s="23"/>
      <c r="I3" s="23"/>
      <c r="J3" s="23"/>
      <c r="K3" s="23"/>
      <c r="L3" s="23"/>
      <c r="M3" s="23"/>
      <c r="N3" s="4"/>
      <c r="O3" s="23"/>
      <c r="P3" s="4"/>
      <c r="S3" s="4"/>
    </row>
    <row r="4" spans="1:20" ht="14.4" thickTop="1" thickBot="1" x14ac:dyDescent="0.3">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t="s">
        <v>910</v>
      </c>
      <c r="R4" s="9" t="s">
        <v>907</v>
      </c>
    </row>
    <row r="5" spans="1:20" ht="13.8" thickTop="1" x14ac:dyDescent="0.25">
      <c r="A5" s="878"/>
      <c r="B5" s="209"/>
      <c r="C5" s="127"/>
      <c r="D5" s="87"/>
      <c r="E5" s="113"/>
      <c r="F5" s="87"/>
      <c r="G5" s="87"/>
      <c r="H5" s="113"/>
      <c r="I5" s="290"/>
      <c r="J5" s="290"/>
      <c r="K5" s="290"/>
      <c r="L5" s="290"/>
      <c r="M5" s="290"/>
      <c r="N5" s="113" t="s">
        <v>515</v>
      </c>
      <c r="O5" s="88" t="s">
        <v>7</v>
      </c>
      <c r="P5" s="203" t="s">
        <v>782</v>
      </c>
      <c r="Q5" s="429"/>
      <c r="R5" s="47"/>
      <c r="S5" s="430"/>
      <c r="T5" s="54"/>
    </row>
    <row r="6" spans="1:20" x14ac:dyDescent="0.25">
      <c r="A6" s="878"/>
      <c r="B6" s="209"/>
      <c r="C6" s="127"/>
      <c r="D6" s="127"/>
      <c r="E6" s="127"/>
      <c r="F6" s="127"/>
      <c r="G6" s="127"/>
      <c r="H6" s="127"/>
      <c r="I6" s="88"/>
      <c r="J6" s="88"/>
      <c r="K6" s="88"/>
      <c r="L6" s="88"/>
      <c r="M6" s="88"/>
      <c r="N6" s="127"/>
      <c r="O6" s="88" t="s">
        <v>8</v>
      </c>
      <c r="P6" s="47" t="s">
        <v>543</v>
      </c>
      <c r="Q6" s="173"/>
      <c r="R6" s="47" t="s">
        <v>1407</v>
      </c>
      <c r="S6" s="431"/>
      <c r="T6" s="54"/>
    </row>
    <row r="7" spans="1:20"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44561</v>
      </c>
      <c r="O7" s="9" t="s">
        <v>9</v>
      </c>
      <c r="P7" s="9" t="s">
        <v>546</v>
      </c>
      <c r="Q7" s="173"/>
      <c r="R7" s="9" t="s">
        <v>907</v>
      </c>
      <c r="S7" s="431"/>
      <c r="T7" s="54"/>
    </row>
    <row r="8" spans="1:20" ht="13.8" thickTop="1" x14ac:dyDescent="0.25">
      <c r="A8" s="880"/>
      <c r="B8" s="177"/>
      <c r="C8" s="713"/>
      <c r="D8" s="219"/>
      <c r="E8" s="219"/>
      <c r="F8" s="219"/>
      <c r="G8" s="219"/>
      <c r="H8" s="219"/>
      <c r="I8" s="220"/>
      <c r="J8" s="220"/>
      <c r="K8" s="220"/>
      <c r="L8" s="220"/>
      <c r="M8" s="220"/>
      <c r="N8" s="104"/>
      <c r="O8" s="76"/>
      <c r="P8" s="76"/>
      <c r="Q8" s="173"/>
      <c r="R8" s="220"/>
      <c r="S8" s="431"/>
      <c r="T8" s="54"/>
    </row>
    <row r="9" spans="1:20" x14ac:dyDescent="0.25">
      <c r="A9" s="915">
        <v>5111</v>
      </c>
      <c r="B9" s="819" t="s">
        <v>1462</v>
      </c>
      <c r="C9" s="713"/>
      <c r="D9" s="219"/>
      <c r="E9" s="219"/>
      <c r="F9" s="219"/>
      <c r="G9" s="219"/>
      <c r="H9" s="219"/>
      <c r="I9" s="220"/>
      <c r="J9" s="220"/>
      <c r="K9" s="220"/>
      <c r="L9" s="219"/>
      <c r="M9" s="14">
        <v>49408</v>
      </c>
      <c r="N9" s="104">
        <v>24112.799999999999</v>
      </c>
      <c r="O9" s="14">
        <f>ROUND((+N48),0)</f>
        <v>52689</v>
      </c>
      <c r="P9" s="76"/>
      <c r="Q9" s="173"/>
      <c r="R9" s="220"/>
      <c r="S9" s="431"/>
      <c r="T9" s="54"/>
    </row>
    <row r="10" spans="1:20" x14ac:dyDescent="0.25">
      <c r="A10" s="881">
        <v>5114</v>
      </c>
      <c r="B10" s="63" t="s">
        <v>1464</v>
      </c>
      <c r="C10" s="130">
        <v>13810.8</v>
      </c>
      <c r="D10" s="13">
        <v>17852.68</v>
      </c>
      <c r="E10" s="13">
        <v>19441.04</v>
      </c>
      <c r="F10" s="13">
        <v>20522.490000000002</v>
      </c>
      <c r="G10" s="13">
        <v>17393.23</v>
      </c>
      <c r="H10" s="13">
        <v>19443.84</v>
      </c>
      <c r="I10" s="13">
        <v>19253.52</v>
      </c>
      <c r="J10" s="13">
        <v>12907.33</v>
      </c>
      <c r="K10" s="14">
        <v>26869</v>
      </c>
      <c r="L10" s="13">
        <v>25469.279999999999</v>
      </c>
      <c r="M10" s="751">
        <v>15800</v>
      </c>
      <c r="N10" s="13">
        <v>9640.81</v>
      </c>
      <c r="O10" s="751">
        <f>ROUND((+N49),0)</f>
        <v>28585</v>
      </c>
      <c r="P10" s="14"/>
      <c r="Q10" s="432"/>
      <c r="R10" s="13">
        <f>10810.45-R11</f>
        <v>9574.4500000000007</v>
      </c>
      <c r="S10" s="431"/>
      <c r="T10" s="54"/>
    </row>
    <row r="11" spans="1:20" x14ac:dyDescent="0.25">
      <c r="A11" s="881">
        <v>5124</v>
      </c>
      <c r="B11" s="63" t="s">
        <v>1140</v>
      </c>
      <c r="C11" s="250"/>
      <c r="D11" s="37"/>
      <c r="E11" s="37"/>
      <c r="F11" s="37"/>
      <c r="G11" s="37"/>
      <c r="H11" s="37"/>
      <c r="I11" s="37">
        <v>2588</v>
      </c>
      <c r="J11" s="37">
        <v>2088.5</v>
      </c>
      <c r="K11" s="38">
        <v>15000</v>
      </c>
      <c r="L11" s="37">
        <v>6565.25</v>
      </c>
      <c r="M11" s="38">
        <v>17000</v>
      </c>
      <c r="N11" s="37">
        <v>6929.25</v>
      </c>
      <c r="O11" s="38">
        <v>17000</v>
      </c>
      <c r="P11" s="38"/>
      <c r="Q11" s="432"/>
      <c r="R11" s="37">
        <v>1236</v>
      </c>
      <c r="S11" s="431"/>
      <c r="T11" s="54"/>
    </row>
    <row r="12" spans="1:20" hidden="1" x14ac:dyDescent="0.25">
      <c r="A12" s="881">
        <v>5145</v>
      </c>
      <c r="B12" s="63" t="s">
        <v>157</v>
      </c>
      <c r="C12" s="250"/>
      <c r="D12" s="37"/>
      <c r="E12" s="37"/>
      <c r="F12" s="37"/>
      <c r="G12" s="37">
        <v>300</v>
      </c>
      <c r="H12" s="37"/>
      <c r="I12" s="37"/>
      <c r="J12" s="37"/>
      <c r="K12" s="38"/>
      <c r="L12" s="37"/>
      <c r="M12" s="38"/>
      <c r="N12" s="37"/>
      <c r="O12" s="38"/>
      <c r="P12" s="38"/>
      <c r="Q12" s="432"/>
      <c r="R12" s="37"/>
      <c r="S12" s="431"/>
      <c r="T12" s="54"/>
    </row>
    <row r="13" spans="1:20" x14ac:dyDescent="0.25">
      <c r="A13" s="881">
        <v>5132</v>
      </c>
      <c r="B13" s="63" t="s">
        <v>1465</v>
      </c>
      <c r="C13" s="250"/>
      <c r="D13" s="37"/>
      <c r="E13" s="37"/>
      <c r="F13" s="37"/>
      <c r="G13" s="37"/>
      <c r="H13" s="37"/>
      <c r="I13" s="37"/>
      <c r="J13" s="37"/>
      <c r="K13" s="38"/>
      <c r="L13" s="37">
        <v>144.41</v>
      </c>
      <c r="M13" s="38">
        <v>2000</v>
      </c>
      <c r="N13" s="37"/>
      <c r="O13" s="38">
        <v>2000</v>
      </c>
      <c r="P13" s="38"/>
      <c r="Q13" s="432"/>
      <c r="R13" s="37"/>
      <c r="S13" s="431"/>
      <c r="T13" s="54"/>
    </row>
    <row r="14" spans="1:20" ht="13.8" thickBot="1" x14ac:dyDescent="0.3">
      <c r="A14" s="881">
        <v>5145</v>
      </c>
      <c r="B14" s="63" t="s">
        <v>603</v>
      </c>
      <c r="C14" s="131">
        <v>300.04000000000002</v>
      </c>
      <c r="D14" s="15">
        <v>300.04000000000002</v>
      </c>
      <c r="E14" s="15">
        <v>300.04000000000002</v>
      </c>
      <c r="F14" s="15">
        <v>305.81</v>
      </c>
      <c r="G14" s="15">
        <v>236.57</v>
      </c>
      <c r="H14" s="15">
        <v>300.04000000000002</v>
      </c>
      <c r="I14" s="15">
        <v>300.04000000000002</v>
      </c>
      <c r="J14" s="15">
        <v>300.04000000000002</v>
      </c>
      <c r="K14" s="16">
        <v>300</v>
      </c>
      <c r="L14" s="15">
        <v>300.04000000000002</v>
      </c>
      <c r="M14" s="16">
        <v>600</v>
      </c>
      <c r="N14" s="15">
        <v>300.04000000000002</v>
      </c>
      <c r="O14" s="16">
        <v>600</v>
      </c>
      <c r="P14" s="16"/>
      <c r="Q14" s="432"/>
      <c r="R14" s="15"/>
      <c r="S14" s="431"/>
      <c r="T14" s="54"/>
    </row>
    <row r="15" spans="1:20" x14ac:dyDescent="0.25">
      <c r="A15" s="881"/>
      <c r="B15" s="64" t="s">
        <v>130</v>
      </c>
      <c r="C15" s="132">
        <f t="shared" ref="C15:H15" si="0">SUM(C10:C14)</f>
        <v>14110.84</v>
      </c>
      <c r="D15" s="18">
        <f t="shared" si="0"/>
        <v>18152.72</v>
      </c>
      <c r="E15" s="18">
        <f t="shared" si="0"/>
        <v>19741.080000000002</v>
      </c>
      <c r="F15" s="18">
        <f t="shared" si="0"/>
        <v>20828.300000000003</v>
      </c>
      <c r="G15" s="18">
        <f t="shared" si="0"/>
        <v>17929.8</v>
      </c>
      <c r="H15" s="18">
        <f t="shared" si="0"/>
        <v>19743.88</v>
      </c>
      <c r="I15" s="18">
        <f>SUM(I9:I14)</f>
        <v>22141.56</v>
      </c>
      <c r="J15" s="18">
        <f>SUM(J9:J14)</f>
        <v>15295.87</v>
      </c>
      <c r="K15" s="36">
        <f>SUM(K9:K14)</f>
        <v>42169</v>
      </c>
      <c r="L15" s="18">
        <f t="shared" ref="L15" si="1">SUM(L9:L14)</f>
        <v>32478.98</v>
      </c>
      <c r="M15" s="36">
        <f>SUM(M9:M14)</f>
        <v>84808</v>
      </c>
      <c r="N15" s="18">
        <f>SUM(N9:N14)</f>
        <v>40982.9</v>
      </c>
      <c r="O15" s="36">
        <f>SUM(O9:O14)</f>
        <v>100874</v>
      </c>
      <c r="P15" s="36">
        <f>SUM(P10:P14)</f>
        <v>0</v>
      </c>
      <c r="Q15" s="432"/>
      <c r="R15" s="18">
        <f>SUM(R10:R14)</f>
        <v>10810.45</v>
      </c>
      <c r="S15" s="431"/>
      <c r="T15" s="54"/>
    </row>
    <row r="16" spans="1:20" x14ac:dyDescent="0.25">
      <c r="A16" s="881"/>
      <c r="B16" s="63"/>
      <c r="C16" s="130"/>
      <c r="D16" s="13"/>
      <c r="E16" s="13"/>
      <c r="F16" s="13"/>
      <c r="G16" s="13"/>
      <c r="H16" s="13"/>
      <c r="I16" s="13"/>
      <c r="J16" s="13"/>
      <c r="K16" s="14"/>
      <c r="L16" s="13"/>
      <c r="M16" s="14"/>
      <c r="N16" s="13"/>
      <c r="O16" s="14"/>
      <c r="P16" s="14"/>
      <c r="Q16" s="700"/>
      <c r="R16" s="13"/>
      <c r="S16" s="431"/>
      <c r="T16" s="54"/>
    </row>
    <row r="17" spans="1:20" x14ac:dyDescent="0.25">
      <c r="A17" s="881">
        <v>5211</v>
      </c>
      <c r="B17" s="63" t="s">
        <v>192</v>
      </c>
      <c r="C17" s="130">
        <v>5066.71</v>
      </c>
      <c r="D17" s="13">
        <v>6228.7</v>
      </c>
      <c r="E17" s="13">
        <v>6567.25</v>
      </c>
      <c r="F17" s="13">
        <v>7139.94</v>
      </c>
      <c r="G17" s="13">
        <v>7603.06</v>
      </c>
      <c r="H17" s="13">
        <v>6972.68</v>
      </c>
      <c r="I17" s="703">
        <v>7257.31</v>
      </c>
      <c r="J17" s="703">
        <v>4301.03</v>
      </c>
      <c r="K17" s="582">
        <v>2950</v>
      </c>
      <c r="L17" s="703">
        <v>5285.21</v>
      </c>
      <c r="M17" s="582">
        <f>2950+1300</f>
        <v>4250</v>
      </c>
      <c r="N17" s="13">
        <v>5601.32</v>
      </c>
      <c r="O17" s="582">
        <v>10000</v>
      </c>
      <c r="P17" s="122"/>
      <c r="Q17" s="701"/>
      <c r="R17" s="703">
        <f>2393.38+124.66+389.46+81.02+121.7</f>
        <v>3110.22</v>
      </c>
      <c r="S17" s="431"/>
      <c r="T17" s="54"/>
    </row>
    <row r="18" spans="1:20" hidden="1" x14ac:dyDescent="0.25">
      <c r="A18" s="881">
        <v>5213</v>
      </c>
      <c r="B18" s="63" t="s">
        <v>766</v>
      </c>
      <c r="C18" s="130"/>
      <c r="D18" s="13">
        <v>806.93</v>
      </c>
      <c r="E18" s="13"/>
      <c r="F18" s="13"/>
      <c r="G18" s="13"/>
      <c r="H18" s="13"/>
      <c r="I18" s="703"/>
      <c r="J18" s="703"/>
      <c r="K18" s="582"/>
      <c r="L18" s="703"/>
      <c r="M18" s="582"/>
      <c r="N18" s="13"/>
      <c r="O18" s="582"/>
      <c r="P18" s="122"/>
      <c r="Q18" s="432"/>
      <c r="R18" s="703"/>
      <c r="S18" s="431"/>
      <c r="T18" s="54"/>
    </row>
    <row r="19" spans="1:20" x14ac:dyDescent="0.25">
      <c r="A19" s="881">
        <v>5214</v>
      </c>
      <c r="B19" s="63" t="s">
        <v>717</v>
      </c>
      <c r="C19" s="130">
        <v>537.37</v>
      </c>
      <c r="D19" s="13">
        <v>648.83000000000004</v>
      </c>
      <c r="E19" s="13">
        <v>618.26</v>
      </c>
      <c r="F19" s="13">
        <v>369.77</v>
      </c>
      <c r="G19" s="13">
        <v>451.1</v>
      </c>
      <c r="H19" s="13">
        <v>892.09</v>
      </c>
      <c r="I19" s="703">
        <v>1148.9100000000001</v>
      </c>
      <c r="J19" s="703">
        <v>295.08999999999997</v>
      </c>
      <c r="K19" s="582">
        <v>1550</v>
      </c>
      <c r="L19" s="703">
        <v>1264.94</v>
      </c>
      <c r="M19" s="582">
        <f>1550+800</f>
        <v>2350</v>
      </c>
      <c r="N19" s="13">
        <v>405.3</v>
      </c>
      <c r="O19" s="582">
        <v>3000</v>
      </c>
      <c r="P19" s="122"/>
      <c r="Q19" s="432"/>
      <c r="R19" s="703">
        <f>336.62+17.05+4.51+42.5</f>
        <v>400.68</v>
      </c>
      <c r="S19" s="431"/>
      <c r="T19" s="54"/>
    </row>
    <row r="20" spans="1:20" x14ac:dyDescent="0.25">
      <c r="A20" s="881">
        <v>5231</v>
      </c>
      <c r="B20" s="63" t="s">
        <v>194</v>
      </c>
      <c r="C20" s="130">
        <v>403.2</v>
      </c>
      <c r="D20" s="13">
        <v>146</v>
      </c>
      <c r="E20" s="13">
        <v>219.2</v>
      </c>
      <c r="F20" s="13">
        <v>862.2</v>
      </c>
      <c r="G20" s="13">
        <v>178.2</v>
      </c>
      <c r="H20" s="13">
        <v>259.2</v>
      </c>
      <c r="I20" s="703">
        <v>423.9</v>
      </c>
      <c r="J20" s="703">
        <v>108.5</v>
      </c>
      <c r="K20" s="582">
        <v>1000</v>
      </c>
      <c r="L20" s="703">
        <v>554.5</v>
      </c>
      <c r="M20" s="582">
        <v>1350</v>
      </c>
      <c r="N20" s="13">
        <v>442.03</v>
      </c>
      <c r="O20" s="582">
        <v>2000</v>
      </c>
      <c r="P20" s="122"/>
      <c r="Q20" s="432"/>
      <c r="R20" s="703">
        <v>121</v>
      </c>
      <c r="S20" s="431"/>
      <c r="T20" s="54"/>
    </row>
    <row r="21" spans="1:20" x14ac:dyDescent="0.25">
      <c r="A21" s="881">
        <v>5241</v>
      </c>
      <c r="B21" s="12" t="s">
        <v>702</v>
      </c>
      <c r="C21" s="13">
        <v>5585.18</v>
      </c>
      <c r="D21" s="13">
        <v>4307.68</v>
      </c>
      <c r="E21" s="13">
        <v>2060.39</v>
      </c>
      <c r="F21" s="13">
        <v>3265.74</v>
      </c>
      <c r="G21" s="13">
        <v>3262.36</v>
      </c>
      <c r="H21" s="13">
        <v>7969.93</v>
      </c>
      <c r="I21" s="703">
        <v>6357.29</v>
      </c>
      <c r="J21" s="703">
        <v>4341.49</v>
      </c>
      <c r="K21" s="582">
        <v>10500</v>
      </c>
      <c r="L21" s="703">
        <v>25184.68</v>
      </c>
      <c r="M21" s="582">
        <f>6500+8000</f>
        <v>14500</v>
      </c>
      <c r="N21" s="13">
        <v>59220.67</v>
      </c>
      <c r="O21" s="582">
        <v>15000</v>
      </c>
      <c r="P21" s="122"/>
      <c r="R21" s="703">
        <f>309.66+90.88+8.85+392.8+261.72+91.39</f>
        <v>1155.3000000000002</v>
      </c>
      <c r="S21" s="431"/>
      <c r="T21" s="54"/>
    </row>
    <row r="22" spans="1:20" x14ac:dyDescent="0.25">
      <c r="A22" s="881">
        <v>5251</v>
      </c>
      <c r="B22" s="12" t="s">
        <v>218</v>
      </c>
      <c r="C22" s="13">
        <v>740.5</v>
      </c>
      <c r="D22" s="13">
        <v>1025.08</v>
      </c>
      <c r="E22" s="13">
        <v>368.69</v>
      </c>
      <c r="F22" s="13"/>
      <c r="G22" s="13">
        <v>174.84</v>
      </c>
      <c r="H22" s="13">
        <v>553.89</v>
      </c>
      <c r="I22" s="703">
        <v>1161.04</v>
      </c>
      <c r="J22" s="703">
        <v>457.36</v>
      </c>
      <c r="K22" s="582">
        <v>3500</v>
      </c>
      <c r="L22" s="703">
        <v>6536.97</v>
      </c>
      <c r="M22" s="582">
        <f>2500+2000</f>
        <v>4500</v>
      </c>
      <c r="N22" s="13">
        <v>4122.1000000000004</v>
      </c>
      <c r="O22" s="582">
        <v>2000</v>
      </c>
      <c r="P22" s="122"/>
      <c r="R22" s="703"/>
      <c r="S22" s="431"/>
      <c r="T22" s="54"/>
    </row>
    <row r="23" spans="1:20" x14ac:dyDescent="0.25">
      <c r="A23" s="881">
        <v>5275</v>
      </c>
      <c r="B23" s="12" t="s">
        <v>211</v>
      </c>
      <c r="C23" s="13">
        <v>3574</v>
      </c>
      <c r="D23" s="13">
        <v>5884</v>
      </c>
      <c r="E23" s="13">
        <v>9987.5</v>
      </c>
      <c r="F23" s="13">
        <v>1200</v>
      </c>
      <c r="G23" s="13">
        <v>14487.5</v>
      </c>
      <c r="H23" s="13">
        <v>4654.92</v>
      </c>
      <c r="I23" s="703">
        <v>2282.0300000000002</v>
      </c>
      <c r="J23" s="703">
        <v>1290.47</v>
      </c>
      <c r="K23" s="582">
        <v>1100</v>
      </c>
      <c r="L23" s="703">
        <v>942.6</v>
      </c>
      <c r="M23" s="582">
        <f>400+1000</f>
        <v>1400</v>
      </c>
      <c r="N23" s="13">
        <v>242.33</v>
      </c>
      <c r="O23" s="582">
        <v>1000</v>
      </c>
      <c r="P23" s="122"/>
      <c r="R23" s="703"/>
      <c r="S23" s="431"/>
      <c r="T23" s="54"/>
    </row>
    <row r="24" spans="1:20" x14ac:dyDescent="0.25">
      <c r="A24" s="881">
        <v>5302</v>
      </c>
      <c r="B24" s="12" t="s">
        <v>151</v>
      </c>
      <c r="C24" s="13">
        <v>391</v>
      </c>
      <c r="D24" s="13">
        <v>238</v>
      </c>
      <c r="E24" s="13">
        <v>17</v>
      </c>
      <c r="F24" s="13">
        <v>85</v>
      </c>
      <c r="G24" s="13"/>
      <c r="H24" s="13"/>
      <c r="I24" s="703">
        <v>140</v>
      </c>
      <c r="J24" s="703"/>
      <c r="K24" s="582">
        <v>1650</v>
      </c>
      <c r="L24" s="703">
        <v>728.77</v>
      </c>
      <c r="M24" s="582">
        <f>1650+350</f>
        <v>2000</v>
      </c>
      <c r="N24" s="13">
        <v>97.5</v>
      </c>
      <c r="O24" s="582">
        <v>0</v>
      </c>
      <c r="P24" s="122"/>
      <c r="R24" s="703"/>
      <c r="S24" s="431"/>
      <c r="T24" s="54"/>
    </row>
    <row r="25" spans="1:20" x14ac:dyDescent="0.25">
      <c r="A25" s="881">
        <v>5314</v>
      </c>
      <c r="B25" s="12" t="s">
        <v>618</v>
      </c>
      <c r="C25" s="13">
        <v>189</v>
      </c>
      <c r="D25" s="13">
        <v>240</v>
      </c>
      <c r="E25" s="13"/>
      <c r="F25" s="13">
        <v>180</v>
      </c>
      <c r="G25" s="13">
        <v>300</v>
      </c>
      <c r="H25" s="13">
        <v>200</v>
      </c>
      <c r="I25" s="703">
        <v>46.79</v>
      </c>
      <c r="J25" s="703">
        <v>112.76</v>
      </c>
      <c r="K25" s="582">
        <v>2100</v>
      </c>
      <c r="L25" s="703"/>
      <c r="M25" s="582">
        <v>500</v>
      </c>
      <c r="N25" s="13">
        <v>250</v>
      </c>
      <c r="O25" s="582">
        <v>2000</v>
      </c>
      <c r="P25" s="122"/>
      <c r="R25" s="703"/>
      <c r="S25" s="431"/>
      <c r="T25" s="54"/>
    </row>
    <row r="26" spans="1:20" x14ac:dyDescent="0.25">
      <c r="A26" s="881">
        <v>5315</v>
      </c>
      <c r="B26" s="12" t="s">
        <v>132</v>
      </c>
      <c r="C26" s="13">
        <v>175</v>
      </c>
      <c r="D26" s="13">
        <v>0</v>
      </c>
      <c r="E26" s="13"/>
      <c r="F26" s="13"/>
      <c r="G26" s="13">
        <v>83.79</v>
      </c>
      <c r="H26" s="13">
        <v>260</v>
      </c>
      <c r="I26" s="703">
        <v>496.29</v>
      </c>
      <c r="J26" s="703">
        <v>443.86</v>
      </c>
      <c r="K26" s="582">
        <v>1500</v>
      </c>
      <c r="L26" s="703">
        <v>1569.26</v>
      </c>
      <c r="M26" s="582">
        <v>650</v>
      </c>
      <c r="N26" s="13">
        <v>1429</v>
      </c>
      <c r="O26" s="582">
        <v>1000</v>
      </c>
      <c r="P26" s="122"/>
      <c r="R26" s="703"/>
      <c r="S26" s="431"/>
      <c r="T26" s="54"/>
    </row>
    <row r="27" spans="1:20" x14ac:dyDescent="0.25">
      <c r="A27" s="881">
        <v>5341</v>
      </c>
      <c r="B27" s="12" t="s">
        <v>1230</v>
      </c>
      <c r="C27" s="13">
        <v>824.55</v>
      </c>
      <c r="D27" s="13">
        <v>813.4</v>
      </c>
      <c r="E27" s="13">
        <v>808.28</v>
      </c>
      <c r="F27" s="13">
        <v>990.09</v>
      </c>
      <c r="G27" s="13">
        <v>1512.13</v>
      </c>
      <c r="H27" s="13">
        <v>1331.16</v>
      </c>
      <c r="I27" s="703">
        <v>1196.72</v>
      </c>
      <c r="J27" s="703">
        <v>696.74</v>
      </c>
      <c r="K27" s="582">
        <v>2150</v>
      </c>
      <c r="L27" s="703">
        <v>2179.44</v>
      </c>
      <c r="M27" s="582">
        <v>1650</v>
      </c>
      <c r="N27" s="13">
        <v>2377.19</v>
      </c>
      <c r="O27" s="582">
        <v>3000</v>
      </c>
      <c r="P27" s="122"/>
      <c r="R27" s="703">
        <f>421.28+105.32</f>
        <v>526.59999999999991</v>
      </c>
      <c r="S27" s="431"/>
      <c r="T27" s="54"/>
    </row>
    <row r="28" spans="1:20" x14ac:dyDescent="0.25">
      <c r="A28" s="881">
        <v>5344</v>
      </c>
      <c r="B28" s="12" t="s">
        <v>142</v>
      </c>
      <c r="C28" s="13">
        <v>82.22</v>
      </c>
      <c r="D28" s="13">
        <v>33.18</v>
      </c>
      <c r="E28" s="13">
        <v>47.61</v>
      </c>
      <c r="F28" s="13">
        <v>68.349999999999994</v>
      </c>
      <c r="G28" s="13">
        <v>36.56</v>
      </c>
      <c r="H28" s="13">
        <v>57.59</v>
      </c>
      <c r="I28" s="703">
        <v>173.38</v>
      </c>
      <c r="J28" s="703">
        <v>182.2</v>
      </c>
      <c r="K28" s="582">
        <v>625</v>
      </c>
      <c r="L28" s="703">
        <v>114.89</v>
      </c>
      <c r="M28" s="582">
        <v>125</v>
      </c>
      <c r="N28" s="13"/>
      <c r="O28" s="582">
        <v>200</v>
      </c>
      <c r="P28" s="122"/>
      <c r="R28" s="703"/>
      <c r="S28" s="431"/>
      <c r="T28" s="54"/>
    </row>
    <row r="29" spans="1:20" x14ac:dyDescent="0.25">
      <c r="A29" s="881">
        <v>5345</v>
      </c>
      <c r="B29" s="12" t="s">
        <v>143</v>
      </c>
      <c r="C29" s="18"/>
      <c r="D29" s="13">
        <v>796.78</v>
      </c>
      <c r="E29" s="13"/>
      <c r="F29" s="13">
        <v>150.03</v>
      </c>
      <c r="G29" s="13">
        <v>222.97</v>
      </c>
      <c r="H29" s="13"/>
      <c r="I29" s="703">
        <v>198.29</v>
      </c>
      <c r="J29" s="703">
        <v>1316.05</v>
      </c>
      <c r="K29" s="582">
        <v>2250</v>
      </c>
      <c r="L29" s="704">
        <v>585.84</v>
      </c>
      <c r="M29" s="582">
        <v>1000</v>
      </c>
      <c r="N29" s="18">
        <v>6721</v>
      </c>
      <c r="O29" s="582">
        <v>2500</v>
      </c>
      <c r="P29" s="122"/>
      <c r="R29" s="703">
        <v>298</v>
      </c>
      <c r="S29" s="431"/>
      <c r="T29" s="54"/>
    </row>
    <row r="30" spans="1:20" x14ac:dyDescent="0.25">
      <c r="A30" s="881">
        <v>5420</v>
      </c>
      <c r="B30" s="12" t="s">
        <v>144</v>
      </c>
      <c r="C30" s="18">
        <v>175.79</v>
      </c>
      <c r="D30" s="13">
        <v>124.86</v>
      </c>
      <c r="E30" s="13">
        <v>221.12</v>
      </c>
      <c r="F30" s="13">
        <v>2057.3000000000002</v>
      </c>
      <c r="G30" s="13">
        <v>241.04</v>
      </c>
      <c r="H30" s="13">
        <v>872.64</v>
      </c>
      <c r="I30" s="703">
        <v>717.58</v>
      </c>
      <c r="J30" s="703">
        <v>1208.06</v>
      </c>
      <c r="K30" s="582">
        <v>1300</v>
      </c>
      <c r="L30" s="704">
        <v>3863.49</v>
      </c>
      <c r="M30" s="582">
        <f>1000+1000</f>
        <v>2000</v>
      </c>
      <c r="N30" s="18">
        <v>3843.29</v>
      </c>
      <c r="O30" s="582">
        <v>2000</v>
      </c>
      <c r="P30" s="122"/>
      <c r="R30" s="703">
        <v>909.22</v>
      </c>
      <c r="S30" s="431"/>
      <c r="T30" s="54"/>
    </row>
    <row r="31" spans="1:20" x14ac:dyDescent="0.25">
      <c r="A31" s="881">
        <v>5443</v>
      </c>
      <c r="B31" s="12" t="s">
        <v>201</v>
      </c>
      <c r="C31" s="13">
        <v>48.61</v>
      </c>
      <c r="D31" s="18">
        <v>0</v>
      </c>
      <c r="E31" s="18"/>
      <c r="F31" s="18">
        <v>108.25</v>
      </c>
      <c r="G31" s="18">
        <v>158.6</v>
      </c>
      <c r="H31" s="18">
        <v>526.35</v>
      </c>
      <c r="I31" s="704">
        <v>621.1</v>
      </c>
      <c r="J31" s="704">
        <v>515.80999999999995</v>
      </c>
      <c r="K31" s="583">
        <v>1850</v>
      </c>
      <c r="L31" s="704">
        <v>3408.81</v>
      </c>
      <c r="M31" s="583">
        <f>2000+800</f>
        <v>2800</v>
      </c>
      <c r="N31" s="13">
        <v>4796.46</v>
      </c>
      <c r="O31" s="583">
        <v>3000</v>
      </c>
      <c r="P31" s="124"/>
      <c r="R31" s="704">
        <f>615+387.37+76.41+119.96+94.56+37.52+219.6+133.83</f>
        <v>1684.2499999999998</v>
      </c>
      <c r="S31" s="431"/>
      <c r="T31" s="54"/>
    </row>
    <row r="32" spans="1:20" x14ac:dyDescent="0.25">
      <c r="A32" s="881">
        <v>5481</v>
      </c>
      <c r="B32" s="12" t="s">
        <v>170</v>
      </c>
      <c r="C32" s="18"/>
      <c r="D32" s="18"/>
      <c r="E32" s="18"/>
      <c r="F32" s="18"/>
      <c r="G32" s="18"/>
      <c r="H32" s="18"/>
      <c r="I32" s="704"/>
      <c r="J32" s="704">
        <v>3197.4</v>
      </c>
      <c r="K32" s="583">
        <v>4500</v>
      </c>
      <c r="L32" s="704">
        <v>4581.92</v>
      </c>
      <c r="M32" s="583">
        <f>2500+3000</f>
        <v>5500</v>
      </c>
      <c r="N32" s="13">
        <v>3922.41</v>
      </c>
      <c r="O32" s="583">
        <v>7500</v>
      </c>
      <c r="P32" s="124"/>
      <c r="R32" s="704">
        <f>96+50+1404.49</f>
        <v>1550.49</v>
      </c>
      <c r="S32" s="431"/>
      <c r="T32" s="54"/>
    </row>
    <row r="33" spans="1:20" x14ac:dyDescent="0.25">
      <c r="A33" s="881">
        <v>5500</v>
      </c>
      <c r="B33" s="12" t="s">
        <v>767</v>
      </c>
      <c r="C33" s="18"/>
      <c r="D33" s="18">
        <v>113.67</v>
      </c>
      <c r="E33" s="18">
        <v>500</v>
      </c>
      <c r="F33" s="18">
        <v>1747.06</v>
      </c>
      <c r="G33" s="18">
        <v>923.8</v>
      </c>
      <c r="H33" s="18">
        <v>2520.9499999999998</v>
      </c>
      <c r="I33" s="704">
        <v>1284.3499999999999</v>
      </c>
      <c r="J33" s="704">
        <v>616.69000000000005</v>
      </c>
      <c r="K33" s="583">
        <v>650</v>
      </c>
      <c r="L33" s="704">
        <v>1658.19</v>
      </c>
      <c r="M33" s="583">
        <v>1200</v>
      </c>
      <c r="N33" s="13">
        <v>17635.810000000001</v>
      </c>
      <c r="O33" s="583">
        <v>1000</v>
      </c>
      <c r="P33" s="124"/>
      <c r="R33" s="704">
        <v>1228</v>
      </c>
      <c r="S33" s="431"/>
      <c r="T33" s="54"/>
    </row>
    <row r="34" spans="1:20" x14ac:dyDescent="0.25">
      <c r="A34" s="881">
        <v>5582</v>
      </c>
      <c r="B34" s="12" t="s">
        <v>1139</v>
      </c>
      <c r="C34" s="18"/>
      <c r="D34" s="18"/>
      <c r="E34" s="18"/>
      <c r="F34" s="18"/>
      <c r="G34" s="18"/>
      <c r="H34" s="18"/>
      <c r="I34" s="704">
        <v>139</v>
      </c>
      <c r="J34" s="704">
        <v>74.97</v>
      </c>
      <c r="K34" s="583">
        <v>1550</v>
      </c>
      <c r="L34" s="704">
        <v>3366.7</v>
      </c>
      <c r="M34" s="583">
        <v>3000</v>
      </c>
      <c r="N34" s="13">
        <v>2241.23</v>
      </c>
      <c r="O34" s="583">
        <v>3500</v>
      </c>
      <c r="P34" s="124"/>
      <c r="R34" s="704"/>
      <c r="S34" s="431"/>
      <c r="T34" s="54"/>
    </row>
    <row r="35" spans="1:20" x14ac:dyDescent="0.25">
      <c r="A35" s="881">
        <v>5584</v>
      </c>
      <c r="B35" s="12" t="s">
        <v>1818</v>
      </c>
      <c r="C35" s="18"/>
      <c r="D35" s="18"/>
      <c r="E35" s="18"/>
      <c r="F35" s="18"/>
      <c r="G35" s="18"/>
      <c r="H35" s="18"/>
      <c r="I35" s="704"/>
      <c r="J35" s="704"/>
      <c r="K35" s="583"/>
      <c r="L35" s="704"/>
      <c r="M35" s="583"/>
      <c r="N35" s="13">
        <v>315.49</v>
      </c>
      <c r="O35" s="583"/>
      <c r="P35" s="124"/>
      <c r="R35" s="704"/>
      <c r="S35" s="431"/>
      <c r="T35" s="54"/>
    </row>
    <row r="36" spans="1:20" x14ac:dyDescent="0.25">
      <c r="A36" s="881">
        <v>5710</v>
      </c>
      <c r="B36" s="12" t="s">
        <v>535</v>
      </c>
      <c r="C36" s="18">
        <v>432.52</v>
      </c>
      <c r="D36" s="13">
        <v>358.6</v>
      </c>
      <c r="E36" s="13">
        <v>213.5</v>
      </c>
      <c r="F36" s="13">
        <v>1109.31</v>
      </c>
      <c r="G36" s="13">
        <v>502.28</v>
      </c>
      <c r="H36" s="13"/>
      <c r="I36" s="703">
        <v>205</v>
      </c>
      <c r="J36" s="703">
        <v>1013.28</v>
      </c>
      <c r="K36" s="582">
        <v>950</v>
      </c>
      <c r="L36" s="703">
        <v>883.82</v>
      </c>
      <c r="M36" s="582">
        <v>1100</v>
      </c>
      <c r="N36" s="13">
        <v>829.36</v>
      </c>
      <c r="O36" s="582">
        <v>2000</v>
      </c>
      <c r="P36" s="122"/>
      <c r="R36" s="703"/>
      <c r="S36" s="431"/>
      <c r="T36" s="54"/>
    </row>
    <row r="37" spans="1:20" x14ac:dyDescent="0.25">
      <c r="A37" s="881">
        <v>5730</v>
      </c>
      <c r="B37" s="12" t="s">
        <v>1004</v>
      </c>
      <c r="C37" s="30"/>
      <c r="D37" s="13"/>
      <c r="E37" s="13"/>
      <c r="F37" s="13">
        <v>175</v>
      </c>
      <c r="G37" s="13"/>
      <c r="H37" s="13">
        <v>230</v>
      </c>
      <c r="I37" s="703">
        <v>255</v>
      </c>
      <c r="J37" s="703">
        <v>425</v>
      </c>
      <c r="K37" s="582">
        <v>400</v>
      </c>
      <c r="L37" s="703"/>
      <c r="M37" s="582">
        <v>500</v>
      </c>
      <c r="N37" s="13">
        <v>175</v>
      </c>
      <c r="O37" s="582">
        <v>500</v>
      </c>
      <c r="P37" s="122"/>
      <c r="R37" s="703"/>
      <c r="S37" s="431"/>
      <c r="T37" s="54"/>
    </row>
    <row r="38" spans="1:20" ht="13.8" thickBot="1" x14ac:dyDescent="0.3">
      <c r="A38" s="881">
        <v>5740</v>
      </c>
      <c r="B38" s="12" t="s">
        <v>154</v>
      </c>
      <c r="C38" s="15">
        <v>4569</v>
      </c>
      <c r="D38" s="39">
        <v>4735</v>
      </c>
      <c r="E38" s="39">
        <f>175+4225</f>
        <v>4400</v>
      </c>
      <c r="F38" s="39">
        <v>4184</v>
      </c>
      <c r="G38" s="39">
        <v>3850</v>
      </c>
      <c r="H38" s="39">
        <v>1725</v>
      </c>
      <c r="I38" s="703">
        <v>2146</v>
      </c>
      <c r="J38" s="703">
        <v>3920</v>
      </c>
      <c r="K38" s="582">
        <v>11250</v>
      </c>
      <c r="L38" s="703">
        <v>304.99</v>
      </c>
      <c r="M38" s="582">
        <f>11000+4300</f>
        <v>15300</v>
      </c>
      <c r="N38" s="13">
        <v>16264</v>
      </c>
      <c r="O38" s="582">
        <v>16000</v>
      </c>
      <c r="P38" s="122"/>
      <c r="R38" s="703"/>
      <c r="S38" s="431"/>
      <c r="T38" s="54"/>
    </row>
    <row r="39" spans="1:20" ht="13.8" thickBot="1" x14ac:dyDescent="0.3">
      <c r="A39" s="881">
        <v>5790</v>
      </c>
      <c r="B39" s="12" t="s">
        <v>999</v>
      </c>
      <c r="C39" s="15"/>
      <c r="D39" s="39"/>
      <c r="E39" s="39"/>
      <c r="F39" s="39"/>
      <c r="G39" s="39"/>
      <c r="H39" s="39"/>
      <c r="I39" s="705"/>
      <c r="J39" s="705"/>
      <c r="K39" s="584"/>
      <c r="L39" s="705"/>
      <c r="M39" s="584">
        <v>6000</v>
      </c>
      <c r="N39" s="39">
        <v>1405</v>
      </c>
      <c r="O39" s="584">
        <f>+Overhead!D30</f>
        <v>3720</v>
      </c>
      <c r="P39" s="147"/>
      <c r="R39" s="705"/>
      <c r="S39" s="431"/>
      <c r="T39" s="54"/>
    </row>
    <row r="40" spans="1:20" x14ac:dyDescent="0.25">
      <c r="A40" s="881"/>
      <c r="B40" s="17" t="s">
        <v>449</v>
      </c>
      <c r="C40" s="13">
        <f t="shared" ref="C40:E40" si="2">SUM(C17:C39)</f>
        <v>22794.65</v>
      </c>
      <c r="D40" s="13">
        <f t="shared" si="2"/>
        <v>26500.71</v>
      </c>
      <c r="E40" s="13">
        <f t="shared" si="2"/>
        <v>26028.799999999999</v>
      </c>
      <c r="F40" s="13">
        <f t="shared" ref="F40:P40" si="3">SUM(F17:F39)</f>
        <v>23692.040000000005</v>
      </c>
      <c r="G40" s="13">
        <f t="shared" si="3"/>
        <v>33988.230000000003</v>
      </c>
      <c r="H40" s="13">
        <f t="shared" si="3"/>
        <v>29026.399999999998</v>
      </c>
      <c r="I40" s="13">
        <f t="shared" si="3"/>
        <v>26249.980000000003</v>
      </c>
      <c r="J40" s="13">
        <f t="shared" si="3"/>
        <v>24516.76</v>
      </c>
      <c r="K40" s="42">
        <f t="shared" si="3"/>
        <v>53325</v>
      </c>
      <c r="L40" s="13">
        <f t="shared" ref="L40:M40" si="4">SUM(L17:L39)</f>
        <v>63015.01999999999</v>
      </c>
      <c r="M40" s="42">
        <f t="shared" si="4"/>
        <v>71675</v>
      </c>
      <c r="N40" s="13">
        <f t="shared" si="3"/>
        <v>132336.49</v>
      </c>
      <c r="O40" s="42">
        <f t="shared" si="3"/>
        <v>80920</v>
      </c>
      <c r="P40" s="14">
        <f t="shared" si="3"/>
        <v>0</v>
      </c>
      <c r="Q40" s="432"/>
      <c r="R40" s="13">
        <f t="shared" ref="R40" si="5">SUM(R17:R39)</f>
        <v>10983.759999999998</v>
      </c>
      <c r="S40" s="431"/>
      <c r="T40" s="54"/>
    </row>
    <row r="41" spans="1:20" x14ac:dyDescent="0.25">
      <c r="A41" s="881"/>
      <c r="B41" s="17"/>
      <c r="C41" s="13"/>
      <c r="D41" s="13"/>
      <c r="E41" s="13"/>
      <c r="F41" s="13"/>
      <c r="G41" s="13"/>
      <c r="H41" s="13"/>
      <c r="I41" s="13"/>
      <c r="J41" s="13"/>
      <c r="K41" s="42"/>
      <c r="L41" s="13"/>
      <c r="M41" s="42"/>
      <c r="N41" s="13"/>
      <c r="O41" s="42"/>
      <c r="P41" s="14"/>
      <c r="Q41" s="432"/>
      <c r="R41" s="13"/>
      <c r="S41" s="431"/>
      <c r="T41" s="54"/>
    </row>
    <row r="42" spans="1:20" ht="13.8" thickBot="1" x14ac:dyDescent="0.3">
      <c r="A42" s="882"/>
      <c r="B42" s="20" t="s">
        <v>463</v>
      </c>
      <c r="C42" s="21">
        <f t="shared" ref="C42:O42" si="6">+C40+C15</f>
        <v>36905.490000000005</v>
      </c>
      <c r="D42" s="21">
        <f t="shared" si="6"/>
        <v>44653.43</v>
      </c>
      <c r="E42" s="21">
        <f t="shared" si="6"/>
        <v>45769.880000000005</v>
      </c>
      <c r="F42" s="21">
        <f t="shared" si="6"/>
        <v>44520.340000000011</v>
      </c>
      <c r="G42" s="21">
        <f t="shared" si="6"/>
        <v>51918.03</v>
      </c>
      <c r="H42" s="21">
        <f t="shared" si="6"/>
        <v>48770.28</v>
      </c>
      <c r="I42" s="21">
        <f t="shared" si="6"/>
        <v>48391.540000000008</v>
      </c>
      <c r="J42" s="21">
        <f t="shared" si="6"/>
        <v>39812.629999999997</v>
      </c>
      <c r="K42" s="21">
        <f t="shared" si="6"/>
        <v>95494</v>
      </c>
      <c r="L42" s="21">
        <f t="shared" ref="L42:M42" si="7">+L40+L15</f>
        <v>95493.999999999985</v>
      </c>
      <c r="M42" s="21">
        <f t="shared" si="7"/>
        <v>156483</v>
      </c>
      <c r="N42" s="21">
        <f t="shared" si="6"/>
        <v>173319.38999999998</v>
      </c>
      <c r="O42" s="21">
        <f t="shared" si="6"/>
        <v>181794</v>
      </c>
      <c r="P42" s="21">
        <f>+O42</f>
        <v>181794</v>
      </c>
      <c r="R42" s="21">
        <f>+R40+R15</f>
        <v>21794.21</v>
      </c>
    </row>
    <row r="43" spans="1:20" ht="16.2" thickTop="1" x14ac:dyDescent="0.3">
      <c r="A43" s="876"/>
      <c r="B43" s="4"/>
      <c r="C43" s="23"/>
      <c r="D43" s="23"/>
      <c r="E43" s="23"/>
      <c r="F43" s="23"/>
      <c r="G43" s="23"/>
      <c r="H43" s="23"/>
      <c r="I43" s="23"/>
      <c r="J43" s="23"/>
      <c r="K43" s="23"/>
      <c r="L43" s="23"/>
      <c r="M43" s="23"/>
      <c r="N43" s="27"/>
      <c r="O43" s="23"/>
      <c r="P43" s="27"/>
      <c r="R43" s="208">
        <f>+J42+R42</f>
        <v>61606.84</v>
      </c>
      <c r="S43" s="27"/>
    </row>
    <row r="44" spans="1:20" x14ac:dyDescent="0.25">
      <c r="A44" s="876"/>
      <c r="B44" s="4"/>
      <c r="C44" s="23"/>
      <c r="D44" s="23"/>
      <c r="E44" s="23"/>
      <c r="F44" s="23"/>
      <c r="G44" s="23"/>
      <c r="H44" s="23"/>
      <c r="I44" s="23"/>
      <c r="J44" s="23"/>
      <c r="K44" s="23"/>
      <c r="L44" s="23"/>
      <c r="M44" s="23"/>
      <c r="N44" s="27"/>
      <c r="O44" s="23"/>
      <c r="P44" s="27"/>
      <c r="Q44" s="27"/>
      <c r="R44" s="27"/>
      <c r="S44" s="27"/>
    </row>
    <row r="45" spans="1:20" ht="13.8" thickBot="1" x14ac:dyDescent="0.3">
      <c r="A45" s="876" t="s">
        <v>527</v>
      </c>
      <c r="B45" s="4"/>
    </row>
    <row r="46" spans="1:20" ht="13.8" thickTop="1" x14ac:dyDescent="0.25">
      <c r="A46" s="883" t="s">
        <v>891</v>
      </c>
      <c r="B46" s="107"/>
      <c r="D46" s="351"/>
      <c r="K46" s="316" t="s">
        <v>85</v>
      </c>
      <c r="L46" s="156" t="s">
        <v>575</v>
      </c>
      <c r="M46" s="157" t="s">
        <v>577</v>
      </c>
      <c r="N46" s="163" t="s">
        <v>579</v>
      </c>
      <c r="O46"/>
      <c r="P46"/>
    </row>
    <row r="47" spans="1:20" ht="13.8" thickBot="1" x14ac:dyDescent="0.3">
      <c r="A47" s="884" t="s">
        <v>892</v>
      </c>
      <c r="B47" s="109" t="s">
        <v>528</v>
      </c>
      <c r="D47" s="352"/>
      <c r="K47" s="343">
        <v>44743</v>
      </c>
      <c r="L47" s="159" t="s">
        <v>576</v>
      </c>
      <c r="M47" s="298" t="s">
        <v>574</v>
      </c>
      <c r="N47" s="160" t="s">
        <v>106</v>
      </c>
      <c r="P47" s="254"/>
    </row>
    <row r="48" spans="1:20" ht="13.8" thickTop="1" x14ac:dyDescent="0.25">
      <c r="A48" s="151"/>
      <c r="B48" s="110" t="s">
        <v>1808</v>
      </c>
      <c r="D48" s="18"/>
      <c r="K48" s="126" t="s">
        <v>1804</v>
      </c>
      <c r="L48" s="126">
        <f>+'NAGE &amp; Non-Union Wages'!J7</f>
        <v>25.21</v>
      </c>
      <c r="M48" s="736">
        <v>2090</v>
      </c>
      <c r="N48" s="326">
        <f>ROUND((+M48*L48),2)</f>
        <v>52688.9</v>
      </c>
      <c r="P48" s="299"/>
    </row>
    <row r="49" spans="1:19" x14ac:dyDescent="0.25">
      <c r="A49" s="151"/>
      <c r="B49" s="110" t="s">
        <v>1805</v>
      </c>
      <c r="D49" s="18"/>
      <c r="K49" s="126" t="s">
        <v>1434</v>
      </c>
      <c r="L49" s="126">
        <f>+'NAGE &amp; Non-Union Wages'!J4</f>
        <v>18.23</v>
      </c>
      <c r="M49" s="736">
        <v>1568</v>
      </c>
      <c r="N49" s="326">
        <f>ROUND((+M49*L49),2)</f>
        <v>28584.639999999999</v>
      </c>
      <c r="P49" s="299"/>
    </row>
    <row r="50" spans="1:19" x14ac:dyDescent="0.25">
      <c r="A50" s="151"/>
      <c r="B50" s="110"/>
      <c r="D50" s="18"/>
      <c r="K50" s="126"/>
      <c r="L50" s="126"/>
      <c r="M50" s="736"/>
      <c r="N50" s="326"/>
      <c r="P50" s="299"/>
    </row>
    <row r="51" spans="1:19" x14ac:dyDescent="0.25">
      <c r="A51" s="916"/>
      <c r="B51" s="110"/>
      <c r="D51" s="18"/>
      <c r="K51" s="18"/>
      <c r="L51" s="18"/>
      <c r="M51" s="300"/>
      <c r="N51" s="155"/>
      <c r="P51" s="299"/>
    </row>
    <row r="52" spans="1:19" x14ac:dyDescent="0.25">
      <c r="A52" s="876"/>
      <c r="B52" s="4"/>
      <c r="C52" s="23"/>
      <c r="D52" s="23"/>
      <c r="E52" s="23"/>
      <c r="F52" s="23"/>
      <c r="I52" s="23"/>
      <c r="J52" s="23"/>
      <c r="K52" s="23"/>
      <c r="L52" s="23"/>
      <c r="M52" s="23"/>
      <c r="N52" s="27"/>
      <c r="O52" s="23"/>
      <c r="P52" s="23"/>
      <c r="Q52" s="27"/>
      <c r="R52" s="27"/>
      <c r="S52" s="27"/>
    </row>
    <row r="53" spans="1:19" x14ac:dyDescent="0.25">
      <c r="A53" s="917" t="s">
        <v>910</v>
      </c>
      <c r="B53" s="420" t="s">
        <v>1816</v>
      </c>
      <c r="C53" s="111"/>
      <c r="D53" s="23"/>
      <c r="E53" s="23"/>
      <c r="F53" s="23"/>
      <c r="I53" s="23"/>
      <c r="J53" s="23"/>
      <c r="K53" s="23"/>
      <c r="L53" s="23"/>
      <c r="M53" s="23"/>
      <c r="N53" s="23"/>
      <c r="O53" s="23"/>
      <c r="Q53" s="27"/>
      <c r="R53" s="27"/>
      <c r="S53" s="27"/>
    </row>
    <row r="54" spans="1:19" x14ac:dyDescent="0.25">
      <c r="A54" s="1077">
        <v>60000</v>
      </c>
      <c r="B54" s="420" t="s">
        <v>776</v>
      </c>
      <c r="C54" s="24"/>
      <c r="D54" s="23"/>
      <c r="E54" s="23"/>
      <c r="F54" s="23"/>
      <c r="I54" s="23"/>
      <c r="J54" s="23"/>
      <c r="K54" s="420" t="s">
        <v>1811</v>
      </c>
      <c r="L54" s="4"/>
      <c r="M54" s="4"/>
      <c r="N54" s="23"/>
      <c r="O54" s="23"/>
      <c r="Q54" s="4"/>
      <c r="R54" s="4"/>
      <c r="S54" s="4"/>
    </row>
    <row r="55" spans="1:19" x14ac:dyDescent="0.25">
      <c r="A55" s="1077">
        <v>192500</v>
      </c>
      <c r="B55" s="420" t="s">
        <v>1443</v>
      </c>
      <c r="C55" s="24"/>
      <c r="D55" s="23"/>
      <c r="E55" s="23"/>
      <c r="F55" s="23"/>
      <c r="I55" s="23"/>
      <c r="J55" s="23"/>
      <c r="K55" s="1079" t="s">
        <v>1812</v>
      </c>
      <c r="L55" s="23"/>
      <c r="M55" s="23"/>
      <c r="N55" s="23"/>
      <c r="O55" s="23"/>
      <c r="Q55" s="4"/>
      <c r="R55" s="4"/>
      <c r="S55" s="4"/>
    </row>
    <row r="56" spans="1:19" x14ac:dyDescent="0.25">
      <c r="A56" s="1077">
        <v>6800</v>
      </c>
      <c r="B56" s="420" t="s">
        <v>1442</v>
      </c>
      <c r="C56" s="24"/>
      <c r="D56" s="23"/>
      <c r="E56" s="23"/>
      <c r="F56" s="23"/>
      <c r="I56" s="23"/>
      <c r="J56" s="23"/>
      <c r="K56" s="1079" t="s">
        <v>1813</v>
      </c>
      <c r="L56" s="23"/>
      <c r="M56" s="23"/>
      <c r="N56" s="23"/>
      <c r="O56" s="23"/>
      <c r="Q56" s="4"/>
      <c r="R56" s="4"/>
      <c r="S56" s="4"/>
    </row>
    <row r="57" spans="1:19" x14ac:dyDescent="0.25">
      <c r="A57" s="1080">
        <v>66781.460000000006</v>
      </c>
      <c r="B57" s="420" t="s">
        <v>1807</v>
      </c>
      <c r="C57" s="24"/>
      <c r="D57" s="23"/>
      <c r="E57" s="23"/>
      <c r="F57" s="23"/>
      <c r="I57" s="23"/>
      <c r="J57" s="23"/>
      <c r="K57" s="23"/>
      <c r="L57" s="23"/>
      <c r="M57" s="23"/>
      <c r="N57" s="23"/>
      <c r="O57" s="23"/>
      <c r="Q57" s="4"/>
      <c r="R57" s="4"/>
      <c r="S57" s="4"/>
    </row>
    <row r="58" spans="1:19" x14ac:dyDescent="0.25">
      <c r="A58" s="1078">
        <f>SUM(A54:A57)</f>
        <v>326081.46000000002</v>
      </c>
      <c r="B58" s="420" t="s">
        <v>1814</v>
      </c>
      <c r="C58" s="221"/>
      <c r="D58" s="23"/>
      <c r="E58" s="23"/>
      <c r="F58" s="23"/>
      <c r="I58" s="23"/>
      <c r="J58" s="23"/>
      <c r="K58" s="23"/>
      <c r="L58" s="23"/>
      <c r="M58" s="23"/>
      <c r="N58" s="23"/>
      <c r="O58" s="23"/>
      <c r="Q58" s="4"/>
      <c r="R58" s="4"/>
      <c r="S58" s="4"/>
    </row>
    <row r="59" spans="1:19" x14ac:dyDescent="0.25">
      <c r="A59" s="1078">
        <f>+O42+'600-700 Airport Debt'!O21+'600-900 Airport Benefits'!O18</f>
        <v>316015</v>
      </c>
      <c r="B59" s="420" t="s">
        <v>1806</v>
      </c>
      <c r="C59" s="221"/>
      <c r="D59" s="23"/>
      <c r="E59" s="23"/>
      <c r="F59" s="23"/>
      <c r="I59" s="23"/>
      <c r="J59" s="23"/>
      <c r="K59" s="23">
        <f>+A59-315567</f>
        <v>448</v>
      </c>
      <c r="L59" s="23"/>
      <c r="M59" s="23"/>
      <c r="N59" s="23"/>
      <c r="O59" s="23"/>
      <c r="Q59" s="4"/>
      <c r="R59" s="4"/>
      <c r="S59" s="4"/>
    </row>
    <row r="60" spans="1:19" x14ac:dyDescent="0.25">
      <c r="A60" s="742">
        <f>+A58-A59</f>
        <v>10066.460000000021</v>
      </c>
      <c r="B60" s="4" t="s">
        <v>1815</v>
      </c>
      <c r="C60" s="23"/>
      <c r="D60" s="23"/>
      <c r="E60" s="23"/>
      <c r="F60" s="23"/>
      <c r="I60" s="23"/>
      <c r="J60" s="23"/>
      <c r="K60" s="23"/>
      <c r="L60" s="23"/>
      <c r="M60" s="23"/>
      <c r="N60" s="23"/>
      <c r="O60" s="23"/>
      <c r="Q60" s="4"/>
      <c r="R60" s="4"/>
      <c r="S60" s="4"/>
    </row>
    <row r="61" spans="1:19" ht="13.8" thickBot="1" x14ac:dyDescent="0.3">
      <c r="A61" s="876"/>
      <c r="B61" s="4"/>
      <c r="C61" s="23"/>
      <c r="D61" s="23"/>
      <c r="E61" s="23"/>
      <c r="F61" s="23"/>
      <c r="I61" s="23"/>
      <c r="J61" s="23"/>
      <c r="K61" s="23"/>
      <c r="L61" s="23"/>
      <c r="M61" s="23"/>
      <c r="N61" s="23"/>
      <c r="O61" s="23"/>
      <c r="Q61" s="4"/>
      <c r="R61" s="4"/>
      <c r="S61" s="4"/>
    </row>
    <row r="62" spans="1:19" ht="13.8" thickTop="1" x14ac:dyDescent="0.25">
      <c r="A62" s="893"/>
      <c r="B62" s="452"/>
      <c r="C62" s="453" t="s">
        <v>127</v>
      </c>
      <c r="D62" s="454" t="s">
        <v>127</v>
      </c>
      <c r="E62" s="454" t="s">
        <v>127</v>
      </c>
      <c r="K62" s="455" t="s">
        <v>547</v>
      </c>
      <c r="L62" s="456" t="s">
        <v>9</v>
      </c>
      <c r="M62" s="457" t="s">
        <v>1073</v>
      </c>
      <c r="N62" s="456" t="s">
        <v>686</v>
      </c>
      <c r="O62" s="458"/>
      <c r="P62" s="457"/>
      <c r="Q62" s="4"/>
      <c r="R62" s="4"/>
      <c r="S62" s="4"/>
    </row>
    <row r="63" spans="1:19" ht="13.8" thickBot="1" x14ac:dyDescent="0.3">
      <c r="A63" s="894" t="s">
        <v>128</v>
      </c>
      <c r="B63" s="459"/>
      <c r="C63" s="460" t="s">
        <v>347</v>
      </c>
      <c r="D63" s="460" t="s">
        <v>722</v>
      </c>
      <c r="E63" s="461" t="s">
        <v>737</v>
      </c>
      <c r="K63" s="462" t="s">
        <v>909</v>
      </c>
      <c r="L63" s="462" t="s">
        <v>910</v>
      </c>
      <c r="M63" s="461" t="s">
        <v>1075</v>
      </c>
      <c r="N63" s="1045" t="s">
        <v>1075</v>
      </c>
      <c r="O63" s="464" t="s">
        <v>1074</v>
      </c>
      <c r="P63" s="462"/>
      <c r="Q63" s="4"/>
      <c r="R63" s="4"/>
      <c r="S63" s="4"/>
    </row>
    <row r="64" spans="1:19" ht="13.8" thickTop="1" x14ac:dyDescent="0.25">
      <c r="A64" s="936">
        <v>5111</v>
      </c>
      <c r="B64" s="493" t="s">
        <v>1645</v>
      </c>
      <c r="C64" s="491"/>
      <c r="D64" s="491"/>
      <c r="E64" s="494"/>
      <c r="F64" s="224"/>
      <c r="G64" s="224"/>
      <c r="H64" s="224"/>
      <c r="K64" s="667">
        <f t="shared" ref="K64:K69" si="8">+M9</f>
        <v>49408</v>
      </c>
      <c r="L64" s="667">
        <f t="shared" ref="L64:L69" si="9">+O9</f>
        <v>52689</v>
      </c>
      <c r="M64" s="475">
        <f t="shared" ref="M64" si="10">+L64-K64</f>
        <v>3281</v>
      </c>
      <c r="N64" s="477">
        <f t="shared" ref="N64:N69" si="11">IF(K64+L64&lt;&gt;0,IF(K64&lt;&gt;0,IF(M64&lt;&gt;0,ROUND((+M64/K64),4),""),1),"")</f>
        <v>6.6400000000000001E-2</v>
      </c>
      <c r="O64" s="1087" t="s">
        <v>1827</v>
      </c>
      <c r="P64" s="1044"/>
      <c r="Q64" s="4"/>
      <c r="R64" s="4"/>
      <c r="S64" s="4"/>
    </row>
    <row r="65" spans="1:19" x14ac:dyDescent="0.25">
      <c r="A65" s="907">
        <v>5114</v>
      </c>
      <c r="B65" s="472" t="s">
        <v>1464</v>
      </c>
      <c r="C65" s="476">
        <v>13810.8</v>
      </c>
      <c r="D65" s="476">
        <v>17852.68</v>
      </c>
      <c r="E65" s="476">
        <v>19441.04</v>
      </c>
      <c r="K65" s="667">
        <f t="shared" si="8"/>
        <v>15800</v>
      </c>
      <c r="L65" s="667">
        <f t="shared" si="9"/>
        <v>28585</v>
      </c>
      <c r="M65" s="475">
        <f t="shared" ref="M65:M85" si="12">+L65-K65</f>
        <v>12785</v>
      </c>
      <c r="N65" s="477">
        <f t="shared" si="11"/>
        <v>0.80920000000000003</v>
      </c>
      <c r="O65" s="1088" t="s">
        <v>1828</v>
      </c>
      <c r="P65" s="471"/>
      <c r="Q65" s="4"/>
      <c r="R65" s="4"/>
      <c r="S65" s="4"/>
    </row>
    <row r="66" spans="1:19" x14ac:dyDescent="0.25">
      <c r="A66" s="907">
        <v>5124</v>
      </c>
      <c r="B66" s="472" t="s">
        <v>1141</v>
      </c>
      <c r="C66" s="478"/>
      <c r="D66" s="478"/>
      <c r="E66" s="478"/>
      <c r="K66" s="667">
        <f t="shared" si="8"/>
        <v>17000</v>
      </c>
      <c r="L66" s="667">
        <f t="shared" si="9"/>
        <v>17000</v>
      </c>
      <c r="M66" s="475">
        <f t="shared" si="12"/>
        <v>0</v>
      </c>
      <c r="N66" s="477" t="str">
        <f t="shared" si="11"/>
        <v/>
      </c>
      <c r="O66" s="1088" t="s">
        <v>1829</v>
      </c>
      <c r="P66" s="471"/>
      <c r="Q66" s="4"/>
      <c r="R66" s="4"/>
      <c r="S66" s="4"/>
    </row>
    <row r="67" spans="1:19" hidden="1" x14ac:dyDescent="0.25">
      <c r="A67" s="907">
        <v>5145</v>
      </c>
      <c r="B67" s="472" t="s">
        <v>157</v>
      </c>
      <c r="C67" s="478"/>
      <c r="D67" s="478"/>
      <c r="E67" s="478"/>
      <c r="K67" s="667">
        <f t="shared" si="8"/>
        <v>0</v>
      </c>
      <c r="L67" s="667">
        <f t="shared" si="9"/>
        <v>0</v>
      </c>
      <c r="M67" s="475">
        <f t="shared" si="12"/>
        <v>0</v>
      </c>
      <c r="N67" s="477" t="str">
        <f t="shared" si="11"/>
        <v/>
      </c>
      <c r="O67" s="1088"/>
      <c r="P67" s="471"/>
      <c r="Q67" s="4"/>
      <c r="R67" s="4"/>
      <c r="S67" s="4"/>
    </row>
    <row r="68" spans="1:19" ht="13.8" thickBot="1" x14ac:dyDescent="0.3">
      <c r="A68" s="907">
        <v>5145</v>
      </c>
      <c r="B68" s="472" t="s">
        <v>603</v>
      </c>
      <c r="C68" s="474">
        <v>300.04000000000002</v>
      </c>
      <c r="D68" s="474">
        <v>300.04000000000002</v>
      </c>
      <c r="E68" s="474">
        <v>300.04000000000002</v>
      </c>
      <c r="K68" s="667">
        <f t="shared" si="8"/>
        <v>2000</v>
      </c>
      <c r="L68" s="667">
        <f t="shared" si="9"/>
        <v>2000</v>
      </c>
      <c r="M68" s="475">
        <f t="shared" si="12"/>
        <v>0</v>
      </c>
      <c r="N68" s="477" t="str">
        <f t="shared" si="11"/>
        <v/>
      </c>
      <c r="O68" s="1088" t="s">
        <v>1829</v>
      </c>
      <c r="P68" s="471"/>
      <c r="Q68" s="4"/>
      <c r="R68" s="4"/>
      <c r="S68" s="4"/>
    </row>
    <row r="69" spans="1:19" x14ac:dyDescent="0.25">
      <c r="A69" s="907">
        <v>5132</v>
      </c>
      <c r="B69" s="472" t="s">
        <v>981</v>
      </c>
      <c r="C69" s="478"/>
      <c r="D69" s="478"/>
      <c r="E69" s="478"/>
      <c r="K69" s="667">
        <f t="shared" si="8"/>
        <v>600</v>
      </c>
      <c r="L69" s="667">
        <f t="shared" si="9"/>
        <v>600</v>
      </c>
      <c r="M69" s="475">
        <f t="shared" ref="M69" si="13">+L69-K69</f>
        <v>0</v>
      </c>
      <c r="N69" s="477" t="str">
        <f t="shared" si="11"/>
        <v/>
      </c>
      <c r="O69" s="1088" t="s">
        <v>1829</v>
      </c>
      <c r="P69" s="471"/>
      <c r="Q69" s="4"/>
      <c r="R69" s="4"/>
      <c r="S69" s="4"/>
    </row>
    <row r="70" spans="1:19" x14ac:dyDescent="0.25">
      <c r="A70" s="907">
        <v>5211</v>
      </c>
      <c r="B70" s="501" t="s">
        <v>192</v>
      </c>
      <c r="C70" s="476">
        <v>5066.71</v>
      </c>
      <c r="D70" s="476">
        <v>6228.7</v>
      </c>
      <c r="E70" s="476">
        <v>6567.25</v>
      </c>
      <c r="F70" s="1040"/>
      <c r="G70" s="1040"/>
      <c r="H70" s="1040"/>
      <c r="K70" s="497">
        <f>+M17</f>
        <v>4250</v>
      </c>
      <c r="L70" s="667">
        <f t="shared" ref="L70:L87" si="14">+O17</f>
        <v>10000</v>
      </c>
      <c r="M70" s="475">
        <f t="shared" si="12"/>
        <v>5750</v>
      </c>
      <c r="N70" s="477">
        <f t="shared" ref="N70:N91" si="15">IF(K70+L70&lt;&gt;0,IF(K70&lt;&gt;0,IF(M70&lt;&gt;0,ROUND((+M70/K70),4),""),1),"")</f>
        <v>1.3529</v>
      </c>
      <c r="O70" s="1088" t="s">
        <v>1830</v>
      </c>
      <c r="P70" s="471"/>
      <c r="Q70" s="4"/>
      <c r="R70" s="4"/>
      <c r="S70" s="4"/>
    </row>
    <row r="71" spans="1:19" hidden="1" x14ac:dyDescent="0.25">
      <c r="A71" s="907">
        <v>5213</v>
      </c>
      <c r="B71" s="501" t="s">
        <v>766</v>
      </c>
      <c r="C71" s="476"/>
      <c r="D71" s="476">
        <v>806.93</v>
      </c>
      <c r="E71" s="476"/>
      <c r="F71" s="1040"/>
      <c r="G71" s="1040"/>
      <c r="H71" s="1040"/>
      <c r="K71" s="497">
        <f>+K18</f>
        <v>0</v>
      </c>
      <c r="L71" s="667">
        <f t="shared" si="14"/>
        <v>0</v>
      </c>
      <c r="M71" s="475">
        <f t="shared" si="12"/>
        <v>0</v>
      </c>
      <c r="N71" s="477" t="str">
        <f t="shared" si="15"/>
        <v/>
      </c>
      <c r="O71" s="1088"/>
      <c r="P71" s="471"/>
      <c r="Q71" s="4"/>
      <c r="R71" s="4"/>
      <c r="S71" s="4"/>
    </row>
    <row r="72" spans="1:19" x14ac:dyDescent="0.25">
      <c r="A72" s="907">
        <v>5214</v>
      </c>
      <c r="B72" s="501" t="s">
        <v>717</v>
      </c>
      <c r="C72" s="476">
        <v>537.37</v>
      </c>
      <c r="D72" s="476">
        <v>648.83000000000004</v>
      </c>
      <c r="E72" s="476">
        <v>618.26</v>
      </c>
      <c r="F72" s="1040"/>
      <c r="G72" s="1040"/>
      <c r="H72" s="1040"/>
      <c r="K72" s="497">
        <f t="shared" ref="K72:K87" si="16">+M19</f>
        <v>2350</v>
      </c>
      <c r="L72" s="667">
        <f t="shared" si="14"/>
        <v>3000</v>
      </c>
      <c r="M72" s="475">
        <f t="shared" si="12"/>
        <v>650</v>
      </c>
      <c r="N72" s="477">
        <f t="shared" si="15"/>
        <v>0.27660000000000001</v>
      </c>
      <c r="O72" s="1088" t="s">
        <v>1830</v>
      </c>
      <c r="P72" s="471"/>
      <c r="Q72" s="4"/>
      <c r="R72" s="4"/>
      <c r="S72" s="4"/>
    </row>
    <row r="73" spans="1:19" x14ac:dyDescent="0.25">
      <c r="A73" s="907">
        <v>5231</v>
      </c>
      <c r="B73" s="501" t="s">
        <v>194</v>
      </c>
      <c r="C73" s="476">
        <v>403.2</v>
      </c>
      <c r="D73" s="476">
        <v>146</v>
      </c>
      <c r="E73" s="476">
        <v>219.2</v>
      </c>
      <c r="F73" s="1040"/>
      <c r="G73" s="1040"/>
      <c r="H73" s="1040"/>
      <c r="K73" s="497">
        <f t="shared" si="16"/>
        <v>1350</v>
      </c>
      <c r="L73" s="667">
        <f t="shared" si="14"/>
        <v>2000</v>
      </c>
      <c r="M73" s="475">
        <f t="shared" si="12"/>
        <v>650</v>
      </c>
      <c r="N73" s="477">
        <f t="shared" si="15"/>
        <v>0.48149999999999998</v>
      </c>
      <c r="O73" s="1088" t="s">
        <v>1830</v>
      </c>
      <c r="P73" s="471"/>
      <c r="Q73" s="4"/>
      <c r="R73" s="4"/>
      <c r="S73" s="4"/>
    </row>
    <row r="74" spans="1:19" x14ac:dyDescent="0.25">
      <c r="A74" s="907">
        <v>5241</v>
      </c>
      <c r="B74" s="472" t="s">
        <v>702</v>
      </c>
      <c r="C74" s="476">
        <v>5585.18</v>
      </c>
      <c r="D74" s="476">
        <v>4307.68</v>
      </c>
      <c r="E74" s="476">
        <v>2060.39</v>
      </c>
      <c r="F74" s="1040"/>
      <c r="G74" s="1040"/>
      <c r="H74" s="1040"/>
      <c r="K74" s="497">
        <f t="shared" si="16"/>
        <v>14500</v>
      </c>
      <c r="L74" s="667">
        <f t="shared" si="14"/>
        <v>15000</v>
      </c>
      <c r="M74" s="475">
        <f t="shared" si="12"/>
        <v>500</v>
      </c>
      <c r="N74" s="477">
        <f t="shared" si="15"/>
        <v>3.4500000000000003E-2</v>
      </c>
      <c r="O74" s="1089" t="s">
        <v>1831</v>
      </c>
      <c r="P74" s="471"/>
      <c r="Q74" s="4"/>
      <c r="R74" s="4"/>
      <c r="S74" s="4"/>
    </row>
    <row r="75" spans="1:19" x14ac:dyDescent="0.25">
      <c r="A75" s="907">
        <v>5251</v>
      </c>
      <c r="B75" s="472" t="s">
        <v>218</v>
      </c>
      <c r="C75" s="476">
        <v>740.5</v>
      </c>
      <c r="D75" s="476">
        <v>1025.08</v>
      </c>
      <c r="E75" s="476">
        <v>368.69</v>
      </c>
      <c r="F75" s="1040"/>
      <c r="G75" s="1040"/>
      <c r="H75" s="1040"/>
      <c r="K75" s="497">
        <f t="shared" si="16"/>
        <v>4500</v>
      </c>
      <c r="L75" s="667">
        <f t="shared" si="14"/>
        <v>2000</v>
      </c>
      <c r="M75" s="475">
        <f t="shared" si="12"/>
        <v>-2500</v>
      </c>
      <c r="N75" s="477">
        <f t="shared" si="15"/>
        <v>-0.55559999999999998</v>
      </c>
      <c r="O75" s="1089" t="s">
        <v>1832</v>
      </c>
      <c r="P75" s="471"/>
      <c r="Q75" s="4"/>
      <c r="R75" s="4"/>
      <c r="S75" s="4"/>
    </row>
    <row r="76" spans="1:19" x14ac:dyDescent="0.25">
      <c r="A76" s="907">
        <v>5275</v>
      </c>
      <c r="B76" s="472" t="s">
        <v>211</v>
      </c>
      <c r="C76" s="476">
        <v>3574</v>
      </c>
      <c r="D76" s="476">
        <v>5884</v>
      </c>
      <c r="E76" s="476">
        <v>9987.5</v>
      </c>
      <c r="F76" s="1040"/>
      <c r="G76" s="1040"/>
      <c r="H76" s="1040"/>
      <c r="K76" s="497">
        <f t="shared" si="16"/>
        <v>1400</v>
      </c>
      <c r="L76" s="667">
        <f t="shared" si="14"/>
        <v>1000</v>
      </c>
      <c r="M76" s="475">
        <f t="shared" si="12"/>
        <v>-400</v>
      </c>
      <c r="N76" s="477">
        <f t="shared" si="15"/>
        <v>-0.28570000000000001</v>
      </c>
      <c r="O76" s="1089"/>
      <c r="P76" s="471"/>
      <c r="Q76" s="4"/>
      <c r="R76" s="4"/>
      <c r="S76" s="4"/>
    </row>
    <row r="77" spans="1:19" x14ac:dyDescent="0.25">
      <c r="A77" s="907">
        <v>5302</v>
      </c>
      <c r="B77" s="472" t="s">
        <v>151</v>
      </c>
      <c r="C77" s="476">
        <v>391</v>
      </c>
      <c r="D77" s="476">
        <v>238</v>
      </c>
      <c r="E77" s="476">
        <v>17</v>
      </c>
      <c r="F77" s="1040"/>
      <c r="G77" s="1040"/>
      <c r="H77" s="1040"/>
      <c r="K77" s="497">
        <f t="shared" si="16"/>
        <v>2000</v>
      </c>
      <c r="L77" s="667">
        <f t="shared" si="14"/>
        <v>0</v>
      </c>
      <c r="M77" s="666">
        <f t="shared" si="12"/>
        <v>-2000</v>
      </c>
      <c r="N77" s="477">
        <f t="shared" si="15"/>
        <v>-1</v>
      </c>
      <c r="O77" s="1089" t="s">
        <v>1833</v>
      </c>
      <c r="P77" s="471"/>
      <c r="Q77" s="4"/>
      <c r="R77" s="4"/>
      <c r="S77" s="4"/>
    </row>
    <row r="78" spans="1:19" x14ac:dyDescent="0.25">
      <c r="A78" s="907">
        <v>5314</v>
      </c>
      <c r="B78" s="472" t="s">
        <v>618</v>
      </c>
      <c r="C78" s="476">
        <v>189</v>
      </c>
      <c r="D78" s="476">
        <v>240</v>
      </c>
      <c r="E78" s="476"/>
      <c r="F78" s="1040"/>
      <c r="G78" s="1040"/>
      <c r="H78" s="1040"/>
      <c r="K78" s="497">
        <f t="shared" si="16"/>
        <v>500</v>
      </c>
      <c r="L78" s="667">
        <f t="shared" si="14"/>
        <v>2000</v>
      </c>
      <c r="M78" s="475">
        <f t="shared" si="12"/>
        <v>1500</v>
      </c>
      <c r="N78" s="477">
        <f t="shared" si="15"/>
        <v>3</v>
      </c>
      <c r="O78" s="1089" t="s">
        <v>1834</v>
      </c>
      <c r="P78" s="471"/>
      <c r="Q78" s="4"/>
      <c r="R78" s="4"/>
      <c r="S78" s="4"/>
    </row>
    <row r="79" spans="1:19" x14ac:dyDescent="0.25">
      <c r="A79" s="907">
        <v>5315</v>
      </c>
      <c r="B79" s="472" t="s">
        <v>132</v>
      </c>
      <c r="C79" s="476">
        <v>175</v>
      </c>
      <c r="D79" s="476">
        <v>0</v>
      </c>
      <c r="E79" s="476"/>
      <c r="F79" s="1040"/>
      <c r="G79" s="1040"/>
      <c r="H79" s="1040"/>
      <c r="K79" s="497">
        <f t="shared" si="16"/>
        <v>650</v>
      </c>
      <c r="L79" s="667">
        <f t="shared" si="14"/>
        <v>1000</v>
      </c>
      <c r="M79" s="475">
        <f t="shared" si="12"/>
        <v>350</v>
      </c>
      <c r="N79" s="477">
        <f t="shared" si="15"/>
        <v>0.53849999999999998</v>
      </c>
      <c r="O79" s="1089" t="s">
        <v>1835</v>
      </c>
      <c r="P79" s="471"/>
      <c r="Q79" s="4"/>
      <c r="R79" s="4"/>
      <c r="S79" s="4"/>
    </row>
    <row r="80" spans="1:19" x14ac:dyDescent="0.25">
      <c r="A80" s="907">
        <v>5341</v>
      </c>
      <c r="B80" s="472" t="s">
        <v>1230</v>
      </c>
      <c r="C80" s="476">
        <v>824.55</v>
      </c>
      <c r="D80" s="476">
        <v>813.4</v>
      </c>
      <c r="E80" s="476">
        <v>808.28</v>
      </c>
      <c r="F80" s="1040"/>
      <c r="G80" s="1040"/>
      <c r="H80" s="1040"/>
      <c r="K80" s="497">
        <f t="shared" si="16"/>
        <v>1650</v>
      </c>
      <c r="L80" s="667">
        <f t="shared" si="14"/>
        <v>3000</v>
      </c>
      <c r="M80" s="475">
        <f t="shared" si="12"/>
        <v>1350</v>
      </c>
      <c r="N80" s="477">
        <f t="shared" si="15"/>
        <v>0.81820000000000004</v>
      </c>
      <c r="O80" s="1089" t="s">
        <v>1830</v>
      </c>
      <c r="P80" s="471"/>
      <c r="Q80" s="4"/>
      <c r="R80" s="4"/>
      <c r="S80" s="4"/>
    </row>
    <row r="81" spans="1:19" x14ac:dyDescent="0.25">
      <c r="A81" s="907">
        <v>5344</v>
      </c>
      <c r="B81" s="472" t="s">
        <v>142</v>
      </c>
      <c r="C81" s="476">
        <v>82.22</v>
      </c>
      <c r="D81" s="476">
        <v>33.18</v>
      </c>
      <c r="E81" s="476">
        <v>47.61</v>
      </c>
      <c r="F81" s="1040"/>
      <c r="G81" s="1040"/>
      <c r="H81" s="1040"/>
      <c r="K81" s="497">
        <f t="shared" si="16"/>
        <v>125</v>
      </c>
      <c r="L81" s="667">
        <f t="shared" si="14"/>
        <v>200</v>
      </c>
      <c r="M81" s="475">
        <f t="shared" si="12"/>
        <v>75</v>
      </c>
      <c r="N81" s="477">
        <f t="shared" si="15"/>
        <v>0.6</v>
      </c>
      <c r="O81" s="1089"/>
      <c r="P81" s="471"/>
      <c r="Q81" s="4"/>
      <c r="R81" s="4"/>
      <c r="S81" s="4"/>
    </row>
    <row r="82" spans="1:19" x14ac:dyDescent="0.25">
      <c r="A82" s="907">
        <v>5345</v>
      </c>
      <c r="B82" s="472" t="s">
        <v>143</v>
      </c>
      <c r="C82" s="468"/>
      <c r="D82" s="476">
        <v>796.78</v>
      </c>
      <c r="E82" s="476"/>
      <c r="F82" s="1040"/>
      <c r="G82" s="1040"/>
      <c r="H82" s="1040"/>
      <c r="K82" s="497">
        <f t="shared" si="16"/>
        <v>1000</v>
      </c>
      <c r="L82" s="667">
        <f t="shared" si="14"/>
        <v>2500</v>
      </c>
      <c r="M82" s="475">
        <f t="shared" si="12"/>
        <v>1500</v>
      </c>
      <c r="N82" s="477">
        <f t="shared" si="15"/>
        <v>1.5</v>
      </c>
      <c r="O82" s="1089" t="s">
        <v>1836</v>
      </c>
      <c r="P82" s="471"/>
      <c r="Q82" s="4"/>
      <c r="R82" s="4"/>
      <c r="S82" s="4"/>
    </row>
    <row r="83" spans="1:19" x14ac:dyDescent="0.25">
      <c r="A83" s="907">
        <v>5420</v>
      </c>
      <c r="B83" s="472" t="s">
        <v>144</v>
      </c>
      <c r="C83" s="468">
        <v>175.79</v>
      </c>
      <c r="D83" s="476">
        <v>124.86</v>
      </c>
      <c r="E83" s="476">
        <v>221.12</v>
      </c>
      <c r="F83" s="1040"/>
      <c r="G83" s="1040"/>
      <c r="H83" s="1040"/>
      <c r="K83" s="497">
        <f t="shared" si="16"/>
        <v>2000</v>
      </c>
      <c r="L83" s="667">
        <f t="shared" si="14"/>
        <v>2000</v>
      </c>
      <c r="M83" s="475">
        <f t="shared" si="12"/>
        <v>0</v>
      </c>
      <c r="N83" s="477" t="str">
        <f t="shared" si="15"/>
        <v/>
      </c>
      <c r="O83" s="1089"/>
      <c r="P83" s="471"/>
      <c r="Q83" s="4"/>
      <c r="R83" s="4"/>
      <c r="S83" s="4"/>
    </row>
    <row r="84" spans="1:19" x14ac:dyDescent="0.25">
      <c r="A84" s="907">
        <v>5443</v>
      </c>
      <c r="B84" s="472" t="s">
        <v>201</v>
      </c>
      <c r="C84" s="476">
        <v>48.61</v>
      </c>
      <c r="D84" s="468">
        <v>0</v>
      </c>
      <c r="E84" s="468"/>
      <c r="F84" s="1040"/>
      <c r="G84" s="1040"/>
      <c r="H84" s="1040"/>
      <c r="K84" s="497">
        <f t="shared" si="16"/>
        <v>2800</v>
      </c>
      <c r="L84" s="667">
        <f t="shared" si="14"/>
        <v>3000</v>
      </c>
      <c r="M84" s="475">
        <f t="shared" si="12"/>
        <v>200</v>
      </c>
      <c r="N84" s="477">
        <f t="shared" si="15"/>
        <v>7.1400000000000005E-2</v>
      </c>
      <c r="O84" s="1089"/>
      <c r="P84" s="471"/>
      <c r="Q84" s="4"/>
      <c r="R84" s="4"/>
      <c r="S84" s="4"/>
    </row>
    <row r="85" spans="1:19" x14ac:dyDescent="0.25">
      <c r="A85" s="907">
        <v>5481</v>
      </c>
      <c r="B85" s="472" t="s">
        <v>170</v>
      </c>
      <c r="C85" s="468"/>
      <c r="D85" s="468">
        <v>113.67</v>
      </c>
      <c r="E85" s="468">
        <v>500</v>
      </c>
      <c r="F85" s="1040"/>
      <c r="G85" s="1040"/>
      <c r="H85" s="1040"/>
      <c r="K85" s="497">
        <f t="shared" si="16"/>
        <v>5500</v>
      </c>
      <c r="L85" s="667">
        <f t="shared" si="14"/>
        <v>7500</v>
      </c>
      <c r="M85" s="475">
        <f t="shared" si="12"/>
        <v>2000</v>
      </c>
      <c r="N85" s="477">
        <f t="shared" si="15"/>
        <v>0.36359999999999998</v>
      </c>
      <c r="O85" s="1089" t="s">
        <v>1830</v>
      </c>
      <c r="P85" s="471"/>
      <c r="Q85" s="4"/>
      <c r="R85" s="4"/>
      <c r="S85" s="4"/>
    </row>
    <row r="86" spans="1:19" x14ac:dyDescent="0.25">
      <c r="A86" s="907">
        <v>5500</v>
      </c>
      <c r="B86" s="472" t="s">
        <v>767</v>
      </c>
      <c r="C86" s="468"/>
      <c r="D86" s="468"/>
      <c r="E86" s="468"/>
      <c r="F86" s="1040"/>
      <c r="G86" s="1040"/>
      <c r="H86" s="1040"/>
      <c r="K86" s="497">
        <f t="shared" si="16"/>
        <v>1200</v>
      </c>
      <c r="L86" s="667">
        <f t="shared" si="14"/>
        <v>1000</v>
      </c>
      <c r="M86" s="475"/>
      <c r="N86" s="477" t="str">
        <f t="shared" si="15"/>
        <v/>
      </c>
      <c r="O86" s="1089"/>
      <c r="P86" s="471"/>
      <c r="Q86" s="4"/>
      <c r="R86" s="4"/>
      <c r="S86" s="4"/>
    </row>
    <row r="87" spans="1:19" x14ac:dyDescent="0.25">
      <c r="A87" s="907">
        <v>5582</v>
      </c>
      <c r="B87" s="472" t="s">
        <v>1139</v>
      </c>
      <c r="C87" s="468">
        <v>432.52</v>
      </c>
      <c r="D87" s="476">
        <v>358.6</v>
      </c>
      <c r="E87" s="476">
        <v>213.5</v>
      </c>
      <c r="F87" s="1040"/>
      <c r="G87" s="1040"/>
      <c r="H87" s="1040"/>
      <c r="K87" s="497">
        <f t="shared" si="16"/>
        <v>3000</v>
      </c>
      <c r="L87" s="667">
        <f t="shared" si="14"/>
        <v>3500</v>
      </c>
      <c r="M87" s="475">
        <f>+L87-K87</f>
        <v>500</v>
      </c>
      <c r="N87" s="477">
        <f t="shared" si="15"/>
        <v>0.16669999999999999</v>
      </c>
      <c r="O87" s="1089"/>
      <c r="P87" s="471"/>
      <c r="Q87" s="4"/>
      <c r="R87" s="4"/>
      <c r="S87" s="4"/>
    </row>
    <row r="88" spans="1:19" x14ac:dyDescent="0.25">
      <c r="A88" s="907">
        <v>5710</v>
      </c>
      <c r="B88" s="472" t="s">
        <v>535</v>
      </c>
      <c r="C88" s="481"/>
      <c r="D88" s="476"/>
      <c r="E88" s="476"/>
      <c r="F88" s="1040"/>
      <c r="G88" s="1040"/>
      <c r="H88" s="1040"/>
      <c r="K88" s="497">
        <f t="shared" ref="K88:K91" si="17">+M36</f>
        <v>1100</v>
      </c>
      <c r="L88" s="667">
        <f t="shared" ref="L88:L91" si="18">+O36</f>
        <v>2000</v>
      </c>
      <c r="M88" s="475">
        <f>+L88-K88</f>
        <v>900</v>
      </c>
      <c r="N88" s="477">
        <f t="shared" si="15"/>
        <v>0.81820000000000004</v>
      </c>
      <c r="O88" s="1089" t="s">
        <v>1837</v>
      </c>
      <c r="P88" s="471"/>
      <c r="Q88" s="4"/>
      <c r="R88" s="4"/>
      <c r="S88" s="4"/>
    </row>
    <row r="89" spans="1:19" x14ac:dyDescent="0.25">
      <c r="A89" s="907">
        <v>5730</v>
      </c>
      <c r="B89" s="472" t="s">
        <v>1004</v>
      </c>
      <c r="C89" s="478">
        <v>4569</v>
      </c>
      <c r="D89" s="481">
        <v>4735</v>
      </c>
      <c r="E89" s="481">
        <f>175+4225</f>
        <v>4400</v>
      </c>
      <c r="F89" s="1040"/>
      <c r="G89" s="1040"/>
      <c r="H89" s="1040"/>
      <c r="K89" s="497">
        <f t="shared" si="17"/>
        <v>500</v>
      </c>
      <c r="L89" s="667">
        <f t="shared" si="18"/>
        <v>500</v>
      </c>
      <c r="M89" s="479">
        <f>+L89-K89</f>
        <v>0</v>
      </c>
      <c r="N89" s="832" t="str">
        <f t="shared" si="15"/>
        <v/>
      </c>
      <c r="O89" s="1090"/>
      <c r="P89" s="512"/>
      <c r="Q89" s="4"/>
      <c r="R89" s="4"/>
      <c r="S89" s="4"/>
    </row>
    <row r="90" spans="1:19" x14ac:dyDescent="0.25">
      <c r="A90" s="907">
        <v>5740</v>
      </c>
      <c r="B90" s="472" t="s">
        <v>154</v>
      </c>
      <c r="C90" s="476"/>
      <c r="D90" s="476"/>
      <c r="E90" s="476"/>
      <c r="F90" s="1046"/>
      <c r="G90" s="1046"/>
      <c r="H90" s="1046"/>
      <c r="K90" s="497">
        <f t="shared" si="17"/>
        <v>15300</v>
      </c>
      <c r="L90" s="667">
        <f t="shared" si="18"/>
        <v>16000</v>
      </c>
      <c r="M90" s="475">
        <f t="shared" ref="M90:M91" si="19">+L90-K90</f>
        <v>700</v>
      </c>
      <c r="N90" s="477">
        <f t="shared" si="15"/>
        <v>4.58E-2</v>
      </c>
      <c r="O90" s="1091" t="s">
        <v>1838</v>
      </c>
      <c r="P90" s="475"/>
      <c r="Q90" s="4"/>
      <c r="R90" s="4"/>
      <c r="S90" s="4"/>
    </row>
    <row r="91" spans="1:19" x14ac:dyDescent="0.25">
      <c r="A91" s="914">
        <v>5790</v>
      </c>
      <c r="B91" s="501" t="s">
        <v>999</v>
      </c>
      <c r="C91" s="476"/>
      <c r="D91" s="476"/>
      <c r="E91" s="476"/>
      <c r="F91" s="476"/>
      <c r="G91" s="476"/>
      <c r="H91" s="1046"/>
      <c r="K91" s="497">
        <f t="shared" si="17"/>
        <v>6000</v>
      </c>
      <c r="L91" s="667">
        <f t="shared" si="18"/>
        <v>3720</v>
      </c>
      <c r="M91" s="475">
        <f t="shared" si="19"/>
        <v>-2280</v>
      </c>
      <c r="N91" s="477">
        <f t="shared" si="15"/>
        <v>-0.38</v>
      </c>
      <c r="O91" s="1092"/>
      <c r="P91" s="476"/>
      <c r="Q91" s="4"/>
      <c r="R91" s="4"/>
      <c r="S91" s="4"/>
    </row>
    <row r="92" spans="1:19" x14ac:dyDescent="0.25">
      <c r="A92" s="876"/>
      <c r="B92" s="4" t="s">
        <v>1363</v>
      </c>
      <c r="C92" s="23"/>
      <c r="D92" s="23"/>
      <c r="E92" s="23"/>
      <c r="F92" s="23"/>
      <c r="G92" s="23"/>
      <c r="K92" s="742">
        <f>SUM(K64:K91)</f>
        <v>156483</v>
      </c>
      <c r="L92" s="742">
        <f>SUM(L64:L91)</f>
        <v>181794</v>
      </c>
      <c r="M92" s="202">
        <f>+L92-K92</f>
        <v>25311</v>
      </c>
      <c r="N92" s="743">
        <f>IF(K92+L92&lt;&gt;0,IF(K92&lt;&gt;0,IF(M92&lt;&gt;0,ROUND((+M92/K92),4),""),1),"")</f>
        <v>0.16170000000000001</v>
      </c>
      <c r="O92" s="23"/>
      <c r="P92" s="23"/>
      <c r="Q92" s="4"/>
      <c r="R92" s="4"/>
      <c r="S92" s="4"/>
    </row>
    <row r="93" spans="1:19" x14ac:dyDescent="0.25">
      <c r="A93" s="876"/>
      <c r="B93" s="4"/>
      <c r="C93" s="23"/>
      <c r="D93" s="23"/>
      <c r="E93" s="23"/>
      <c r="F93" s="23"/>
      <c r="G93" s="23"/>
      <c r="H93" s="23"/>
      <c r="I93" s="23"/>
      <c r="J93" s="23"/>
      <c r="K93" s="23"/>
      <c r="L93" s="23"/>
      <c r="M93" s="23"/>
      <c r="N93" s="4"/>
      <c r="O93" s="23"/>
      <c r="P93" s="23"/>
      <c r="Q93" s="4"/>
      <c r="R93" s="4"/>
      <c r="S93" s="4"/>
    </row>
    <row r="94" spans="1:19" x14ac:dyDescent="0.25">
      <c r="C94" s="114"/>
    </row>
    <row r="95" spans="1:19" x14ac:dyDescent="0.25">
      <c r="C95" s="114"/>
    </row>
    <row r="96" spans="1:19" x14ac:dyDescent="0.25">
      <c r="C96" s="114"/>
    </row>
    <row r="97" spans="3:3" x14ac:dyDescent="0.25">
      <c r="C97" s="114"/>
    </row>
    <row r="98" spans="3:3" x14ac:dyDescent="0.25">
      <c r="C98" s="114"/>
    </row>
    <row r="99" spans="3:3" x14ac:dyDescent="0.25">
      <c r="C99" s="114"/>
    </row>
    <row r="100" spans="3:3" x14ac:dyDescent="0.25">
      <c r="C100" s="114"/>
    </row>
    <row r="101" spans="3:3" x14ac:dyDescent="0.25">
      <c r="C101" s="114"/>
    </row>
    <row r="102" spans="3:3" x14ac:dyDescent="0.25">
      <c r="C102" s="114"/>
    </row>
    <row r="103" spans="3:3" x14ac:dyDescent="0.25">
      <c r="C103" s="114"/>
    </row>
    <row r="104" spans="3:3" x14ac:dyDescent="0.25">
      <c r="C104" s="114"/>
    </row>
    <row r="105" spans="3:3" x14ac:dyDescent="0.25">
      <c r="C105" s="114"/>
    </row>
    <row r="106" spans="3:3" x14ac:dyDescent="0.25">
      <c r="C106" s="114"/>
    </row>
    <row r="107" spans="3:3" x14ac:dyDescent="0.25">
      <c r="C107" s="114"/>
    </row>
    <row r="108" spans="3:3" x14ac:dyDescent="0.25">
      <c r="C108" s="114"/>
    </row>
    <row r="109" spans="3:3" x14ac:dyDescent="0.25">
      <c r="C109" s="114"/>
    </row>
    <row r="110" spans="3:3" x14ac:dyDescent="0.25">
      <c r="C110" s="114"/>
    </row>
    <row r="111" spans="3:3" x14ac:dyDescent="0.25">
      <c r="C111" s="114"/>
    </row>
    <row r="112" spans="3:3" x14ac:dyDescent="0.25">
      <c r="C112" s="114"/>
    </row>
    <row r="113" spans="3:3" x14ac:dyDescent="0.25">
      <c r="C113" s="114"/>
    </row>
    <row r="114" spans="3:3" x14ac:dyDescent="0.25">
      <c r="C114" s="114"/>
    </row>
    <row r="115" spans="3:3" x14ac:dyDescent="0.25">
      <c r="C115" s="114"/>
    </row>
    <row r="116" spans="3:3" x14ac:dyDescent="0.25">
      <c r="C116" s="114"/>
    </row>
    <row r="117" spans="3:3" x14ac:dyDescent="0.25">
      <c r="C117" s="114"/>
    </row>
    <row r="118" spans="3:3" x14ac:dyDescent="0.25">
      <c r="C118" s="114"/>
    </row>
    <row r="119" spans="3:3" x14ac:dyDescent="0.25">
      <c r="C119" s="114"/>
    </row>
    <row r="120" spans="3:3" x14ac:dyDescent="0.25">
      <c r="C120" s="114"/>
    </row>
    <row r="121" spans="3:3" x14ac:dyDescent="0.25">
      <c r="C121" s="114"/>
    </row>
    <row r="122" spans="3:3" x14ac:dyDescent="0.25">
      <c r="C122" s="114"/>
    </row>
    <row r="123" spans="3:3" x14ac:dyDescent="0.25">
      <c r="C123" s="114"/>
    </row>
    <row r="124" spans="3:3" x14ac:dyDescent="0.25">
      <c r="C124" s="114"/>
    </row>
    <row r="125" spans="3:3" x14ac:dyDescent="0.25">
      <c r="C125" s="114"/>
    </row>
    <row r="126" spans="3:3" x14ac:dyDescent="0.25">
      <c r="C126" s="114"/>
    </row>
    <row r="127" spans="3:3" x14ac:dyDescent="0.25">
      <c r="C127" s="114"/>
    </row>
    <row r="128" spans="3:3" x14ac:dyDescent="0.25">
      <c r="C128" s="114"/>
    </row>
    <row r="129" spans="3:3" x14ac:dyDescent="0.25">
      <c r="C129" s="114"/>
    </row>
    <row r="130" spans="3:3" x14ac:dyDescent="0.25">
      <c r="C130" s="114"/>
    </row>
    <row r="131" spans="3:3" x14ac:dyDescent="0.25">
      <c r="C131" s="114"/>
    </row>
    <row r="132" spans="3:3" x14ac:dyDescent="0.25">
      <c r="C132" s="114"/>
    </row>
    <row r="133" spans="3:3" x14ac:dyDescent="0.25">
      <c r="C133" s="114"/>
    </row>
    <row r="134" spans="3:3" x14ac:dyDescent="0.25">
      <c r="C134" s="114"/>
    </row>
    <row r="135" spans="3:3" x14ac:dyDescent="0.25">
      <c r="C135" s="114"/>
    </row>
    <row r="136" spans="3:3" x14ac:dyDescent="0.25">
      <c r="C136" s="114"/>
    </row>
  </sheetData>
  <phoneticPr fontId="0" type="noConversion"/>
  <hyperlinks>
    <hyperlink ref="A1" location="'Working Budget with funding det'!A1" display="Main " xr:uid="{00000000-0004-0000-3600-000000000000}"/>
    <hyperlink ref="B1" location="'Table of Contents'!A1" display="TOC" xr:uid="{00000000-0004-0000-3600-000001000000}"/>
  </hyperlinks>
  <pageMargins left="0.75" right="0.5" top="0.75" bottom="0.75" header="0.5" footer="0.5"/>
  <pageSetup scale="91" fitToHeight="2" orientation="landscape" r:id="rId1"/>
  <headerFooter alignWithMargins="0">
    <oddFooter>&amp;L&amp;D     &amp;T&amp;C&amp;F&amp;R&amp;A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92D050"/>
  </sheetPr>
  <dimension ref="A1:AS22"/>
  <sheetViews>
    <sheetView workbookViewId="0">
      <pane xSplit="10" ySplit="7" topLeftCell="K8" activePane="bottomRight" state="frozen"/>
      <selection activeCell="P43" sqref="P43"/>
      <selection pane="topRight" activeCell="P43" sqref="P43"/>
      <selection pane="bottomLeft" activeCell="P43" sqref="P43"/>
      <selection pane="bottomRight" activeCell="R1" sqref="R1:T1048576"/>
    </sheetView>
  </sheetViews>
  <sheetFormatPr defaultRowHeight="13.2" x14ac:dyDescent="0.25"/>
  <cols>
    <col min="1" max="1" width="10.44140625" style="885" customWidth="1"/>
    <col min="2" max="2" width="33" customWidth="1"/>
    <col min="3" max="10" width="0" hidden="1" customWidth="1"/>
    <col min="13" max="13" width="10.33203125" customWidth="1"/>
    <col min="14" max="14" width="11.33203125" customWidth="1"/>
    <col min="15" max="15" width="12.6640625" customWidth="1"/>
    <col min="16" max="16" width="13.109375" customWidth="1"/>
    <col min="18" max="20" width="12.33203125" customWidth="1"/>
    <col min="21" max="21" width="10.44140625" bestFit="1" customWidth="1"/>
    <col min="22" max="22" width="11.44140625" customWidth="1"/>
    <col min="23" max="23" width="10.44140625" bestFit="1" customWidth="1"/>
    <col min="24" max="24" width="11.77734375" customWidth="1"/>
    <col min="25" max="25" width="10.44140625" bestFit="1" customWidth="1"/>
    <col min="26" max="26" width="11.33203125" customWidth="1"/>
    <col min="27" max="27" width="10.44140625" bestFit="1" customWidth="1"/>
    <col min="28" max="28" width="12" customWidth="1"/>
    <col min="29" max="29" width="10.44140625" bestFit="1" customWidth="1"/>
    <col min="30" max="31" width="11.109375" customWidth="1"/>
    <col min="32" max="32" width="11.44140625" customWidth="1"/>
    <col min="46" max="46" width="12" customWidth="1"/>
  </cols>
  <sheetData>
    <row r="1" spans="1:45" x14ac:dyDescent="0.25">
      <c r="A1" s="874" t="s">
        <v>1021</v>
      </c>
      <c r="B1" s="371" t="s">
        <v>1348</v>
      </c>
      <c r="C1" s="1"/>
      <c r="D1" s="114"/>
      <c r="E1" s="114"/>
      <c r="F1" s="114"/>
      <c r="G1" s="114"/>
      <c r="H1" s="114"/>
      <c r="I1" s="114"/>
      <c r="J1" s="114"/>
      <c r="K1" s="114"/>
      <c r="L1" s="114"/>
      <c r="M1" s="114"/>
      <c r="O1" s="1"/>
    </row>
    <row r="2" spans="1:45" ht="13.8" x14ac:dyDescent="0.25">
      <c r="A2" s="875" t="s">
        <v>1540</v>
      </c>
      <c r="B2" s="45"/>
      <c r="C2" s="1"/>
      <c r="D2" s="114"/>
      <c r="E2" s="141"/>
      <c r="F2" s="114"/>
      <c r="G2" s="114"/>
      <c r="H2" s="114"/>
      <c r="I2" s="141" t="s">
        <v>257</v>
      </c>
      <c r="J2" s="141"/>
      <c r="K2" s="61" t="s">
        <v>1542</v>
      </c>
      <c r="L2" s="61"/>
      <c r="M2" s="61"/>
      <c r="N2" s="1"/>
      <c r="O2" s="46" t="s">
        <v>1543</v>
      </c>
    </row>
    <row r="3" spans="1:45" ht="13.8" thickBot="1" x14ac:dyDescent="0.3">
      <c r="A3" s="876"/>
      <c r="B3" s="4"/>
      <c r="C3" s="23"/>
      <c r="D3" s="23"/>
      <c r="E3" s="23"/>
      <c r="F3" s="23"/>
      <c r="G3" s="23"/>
      <c r="H3" s="23"/>
      <c r="I3" s="23"/>
      <c r="J3" s="23"/>
      <c r="K3" s="23"/>
      <c r="L3" s="23"/>
      <c r="M3" s="23"/>
      <c r="N3" s="4"/>
      <c r="O3" s="23"/>
      <c r="P3" s="4"/>
    </row>
    <row r="4" spans="1:45" ht="13.8" thickTop="1" x14ac:dyDescent="0.25">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t="s">
        <v>910</v>
      </c>
      <c r="R4" s="7"/>
      <c r="S4" s="7"/>
      <c r="T4" s="7"/>
      <c r="U4" s="7"/>
      <c r="V4" s="7"/>
      <c r="W4" s="7"/>
      <c r="X4" s="7"/>
      <c r="Y4" s="7"/>
      <c r="Z4" s="7"/>
      <c r="AA4" s="7"/>
      <c r="AB4" s="7"/>
      <c r="AC4" s="7"/>
      <c r="AD4" s="7"/>
      <c r="AE4" s="7"/>
      <c r="AF4" s="7"/>
      <c r="AG4" s="7"/>
      <c r="AH4" s="7"/>
      <c r="AI4" s="7"/>
      <c r="AJ4" s="7"/>
      <c r="AK4" s="7"/>
      <c r="AL4" s="7"/>
      <c r="AM4" s="7"/>
      <c r="AN4" s="7"/>
      <c r="AO4" s="7"/>
      <c r="AP4" s="7"/>
      <c r="AQ4" s="7"/>
      <c r="AR4" s="7"/>
      <c r="AS4" s="7"/>
    </row>
    <row r="5" spans="1:45" x14ac:dyDescent="0.25">
      <c r="A5" s="878"/>
      <c r="B5" s="209"/>
      <c r="C5" s="127"/>
      <c r="D5" s="87"/>
      <c r="E5" s="113"/>
      <c r="F5" s="87"/>
      <c r="G5" s="87"/>
      <c r="H5" s="113"/>
      <c r="I5" s="290"/>
      <c r="J5" s="290"/>
      <c r="K5" s="290"/>
      <c r="L5" s="290"/>
      <c r="M5" s="290"/>
      <c r="N5" s="113" t="s">
        <v>515</v>
      </c>
      <c r="O5" s="88" t="s">
        <v>7</v>
      </c>
      <c r="P5" s="203" t="s">
        <v>782</v>
      </c>
      <c r="R5" s="47" t="s">
        <v>910</v>
      </c>
      <c r="S5" s="47" t="s">
        <v>911</v>
      </c>
      <c r="T5" s="47" t="s">
        <v>912</v>
      </c>
      <c r="U5" s="47" t="s">
        <v>913</v>
      </c>
      <c r="V5" s="47" t="s">
        <v>914</v>
      </c>
      <c r="W5" s="47" t="s">
        <v>915</v>
      </c>
      <c r="X5" s="47" t="s">
        <v>916</v>
      </c>
      <c r="Y5" s="47" t="s">
        <v>917</v>
      </c>
      <c r="Z5" s="47" t="s">
        <v>918</v>
      </c>
      <c r="AA5" s="47" t="s">
        <v>919</v>
      </c>
      <c r="AB5" s="47" t="s">
        <v>920</v>
      </c>
      <c r="AC5" s="47" t="s">
        <v>921</v>
      </c>
      <c r="AD5" s="47" t="s">
        <v>922</v>
      </c>
      <c r="AE5" s="47" t="s">
        <v>923</v>
      </c>
      <c r="AF5" s="47" t="s">
        <v>924</v>
      </c>
      <c r="AG5" s="47" t="s">
        <v>925</v>
      </c>
      <c r="AH5" s="47" t="s">
        <v>926</v>
      </c>
      <c r="AI5" s="47" t="s">
        <v>927</v>
      </c>
      <c r="AJ5" s="47" t="s">
        <v>928</v>
      </c>
      <c r="AK5" s="47" t="s">
        <v>929</v>
      </c>
      <c r="AL5" s="47" t="s">
        <v>930</v>
      </c>
      <c r="AM5" s="47" t="s">
        <v>931</v>
      </c>
      <c r="AN5" s="47" t="s">
        <v>932</v>
      </c>
      <c r="AO5" s="47" t="s">
        <v>933</v>
      </c>
      <c r="AP5" s="47" t="s">
        <v>934</v>
      </c>
      <c r="AQ5" s="47" t="s">
        <v>935</v>
      </c>
      <c r="AR5" s="47" t="s">
        <v>936</v>
      </c>
      <c r="AS5" s="47" t="s">
        <v>937</v>
      </c>
    </row>
    <row r="6" spans="1:45" x14ac:dyDescent="0.25">
      <c r="A6" s="878"/>
      <c r="B6" s="209"/>
      <c r="C6" s="127"/>
      <c r="D6" s="127"/>
      <c r="E6" s="127"/>
      <c r="F6" s="127"/>
      <c r="G6" s="127"/>
      <c r="H6" s="127"/>
      <c r="I6" s="88"/>
      <c r="J6" s="88"/>
      <c r="K6" s="88"/>
      <c r="L6" s="88"/>
      <c r="M6" s="88"/>
      <c r="N6" s="127"/>
      <c r="O6" s="88" t="s">
        <v>8</v>
      </c>
      <c r="P6" s="47" t="s">
        <v>543</v>
      </c>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row>
    <row r="7" spans="1:45"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44561</v>
      </c>
      <c r="O7" s="9" t="s">
        <v>9</v>
      </c>
      <c r="P7" s="9" t="s">
        <v>546</v>
      </c>
      <c r="R7" s="9"/>
      <c r="S7" s="9"/>
      <c r="T7" s="9"/>
      <c r="U7" s="9"/>
      <c r="V7" s="9"/>
      <c r="W7" s="9"/>
      <c r="X7" s="9"/>
      <c r="Y7" s="9"/>
      <c r="Z7" s="9"/>
      <c r="AA7" s="9"/>
      <c r="AB7" s="9"/>
      <c r="AC7" s="9"/>
      <c r="AD7" s="9"/>
      <c r="AE7" s="9"/>
      <c r="AF7" s="9"/>
      <c r="AG7" s="9"/>
      <c r="AH7" s="9"/>
      <c r="AI7" s="9"/>
      <c r="AJ7" s="9"/>
      <c r="AK7" s="9"/>
      <c r="AL7" s="9"/>
      <c r="AM7" s="9"/>
      <c r="AN7" s="9"/>
      <c r="AO7" s="9"/>
      <c r="AP7" s="9"/>
      <c r="AQ7" s="9"/>
      <c r="AR7" s="9"/>
      <c r="AS7" s="9"/>
    </row>
    <row r="8" spans="1:45" ht="14.4" thickTop="1" thickBot="1" x14ac:dyDescent="0.3">
      <c r="A8" s="908"/>
      <c r="B8" s="99" t="s">
        <v>228</v>
      </c>
      <c r="C8" s="132"/>
      <c r="D8" s="18"/>
      <c r="E8" s="18"/>
      <c r="F8" s="18"/>
      <c r="G8" s="18"/>
      <c r="H8" s="18"/>
      <c r="I8" s="19"/>
      <c r="J8" s="19"/>
      <c r="K8" s="19"/>
      <c r="L8" s="19"/>
      <c r="M8" s="19"/>
      <c r="N8" s="18"/>
      <c r="O8" s="19"/>
      <c r="P8" s="205"/>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row>
    <row r="9" spans="1:45" x14ac:dyDescent="0.25">
      <c r="A9" s="881" t="s">
        <v>1544</v>
      </c>
      <c r="B9" s="63" t="s">
        <v>1548</v>
      </c>
      <c r="C9" s="250"/>
      <c r="D9" s="233"/>
      <c r="E9" s="233"/>
      <c r="F9" s="233"/>
      <c r="G9" s="233"/>
      <c r="H9" s="233"/>
      <c r="I9" s="233"/>
      <c r="J9" s="233"/>
      <c r="K9" s="125"/>
      <c r="L9" s="125"/>
      <c r="M9" s="125">
        <v>32789</v>
      </c>
      <c r="N9" s="37"/>
      <c r="O9" s="125">
        <f>+R9</f>
        <v>44000</v>
      </c>
      <c r="P9" s="38"/>
      <c r="R9" s="37">
        <v>44000</v>
      </c>
      <c r="S9" s="37">
        <v>63000</v>
      </c>
      <c r="T9" s="37">
        <v>67000</v>
      </c>
      <c r="U9" s="37">
        <v>67000</v>
      </c>
      <c r="V9" s="37">
        <v>71000</v>
      </c>
      <c r="W9" s="37">
        <v>70000</v>
      </c>
      <c r="X9" s="37">
        <v>79000</v>
      </c>
      <c r="Y9" s="37">
        <v>77000</v>
      </c>
      <c r="Z9" s="37">
        <v>82000</v>
      </c>
      <c r="AA9" s="37">
        <v>81000</v>
      </c>
      <c r="AB9" s="37">
        <v>86000</v>
      </c>
      <c r="AC9" s="37">
        <v>85000</v>
      </c>
      <c r="AD9" s="37">
        <v>90000</v>
      </c>
      <c r="AE9" s="37">
        <v>90000</v>
      </c>
      <c r="AF9" s="37">
        <v>95000</v>
      </c>
      <c r="AG9" s="37"/>
      <c r="AH9" s="37"/>
      <c r="AI9" s="37"/>
      <c r="AJ9" s="37"/>
      <c r="AK9" s="37"/>
      <c r="AL9" s="37"/>
      <c r="AM9" s="37"/>
      <c r="AN9" s="37"/>
      <c r="AO9" s="37"/>
      <c r="AP9" s="37"/>
      <c r="AQ9" s="37"/>
      <c r="AR9" s="37"/>
      <c r="AS9" s="37"/>
    </row>
    <row r="10" spans="1:45" x14ac:dyDescent="0.25">
      <c r="A10" s="881" t="s">
        <v>1545</v>
      </c>
      <c r="B10" s="63" t="s">
        <v>1549</v>
      </c>
      <c r="C10" s="250"/>
      <c r="D10" s="233"/>
      <c r="E10" s="233"/>
      <c r="F10" s="233"/>
      <c r="G10" s="233"/>
      <c r="H10" s="233"/>
      <c r="I10" s="233"/>
      <c r="J10" s="233"/>
      <c r="K10" s="125"/>
      <c r="L10" s="125"/>
      <c r="M10" s="125"/>
      <c r="N10" s="37"/>
      <c r="O10" s="125">
        <f>+R10</f>
        <v>3000</v>
      </c>
      <c r="P10" s="38"/>
      <c r="R10" s="37">
        <v>3000</v>
      </c>
      <c r="S10" s="37">
        <v>4000</v>
      </c>
      <c r="T10" s="37">
        <v>4000</v>
      </c>
      <c r="U10" s="37">
        <v>4000</v>
      </c>
      <c r="V10" s="37">
        <v>4000</v>
      </c>
      <c r="W10" s="37">
        <v>4000</v>
      </c>
      <c r="X10" s="37">
        <v>4000</v>
      </c>
      <c r="Y10" s="37">
        <v>5000</v>
      </c>
      <c r="Z10" s="37">
        <v>5000</v>
      </c>
      <c r="AA10" s="37">
        <v>5000</v>
      </c>
      <c r="AB10" s="37">
        <v>5000</v>
      </c>
      <c r="AC10" s="37">
        <v>5000</v>
      </c>
      <c r="AD10" s="37">
        <v>5000</v>
      </c>
      <c r="AE10" s="37">
        <v>5000</v>
      </c>
      <c r="AF10" s="37">
        <v>5000</v>
      </c>
      <c r="AG10" s="37"/>
      <c r="AH10" s="37"/>
      <c r="AI10" s="37"/>
      <c r="AJ10" s="37"/>
      <c r="AK10" s="37"/>
      <c r="AL10" s="37"/>
      <c r="AM10" s="37"/>
      <c r="AN10" s="37"/>
      <c r="AO10" s="37"/>
      <c r="AP10" s="37"/>
      <c r="AQ10" s="37"/>
      <c r="AR10" s="37"/>
      <c r="AS10" s="37"/>
    </row>
    <row r="11" spans="1:45" ht="13.8" thickBot="1" x14ac:dyDescent="0.3">
      <c r="A11" s="881"/>
      <c r="B11" s="12"/>
      <c r="C11" s="15"/>
      <c r="D11" s="310"/>
      <c r="E11" s="310"/>
      <c r="F11" s="310"/>
      <c r="G11" s="310"/>
      <c r="H11" s="310"/>
      <c r="I11" s="310"/>
      <c r="J11" s="310"/>
      <c r="K11" s="174"/>
      <c r="L11" s="174"/>
      <c r="M11" s="174"/>
      <c r="N11" s="15"/>
      <c r="O11" s="174"/>
      <c r="P11" s="174"/>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row>
    <row r="12" spans="1:45" x14ac:dyDescent="0.25">
      <c r="A12" s="881"/>
      <c r="B12" s="17" t="s">
        <v>228</v>
      </c>
      <c r="C12" s="18">
        <f t="shared" ref="C12:O12" si="0">SUM(C9:C11)</f>
        <v>0</v>
      </c>
      <c r="D12" s="18">
        <f t="shared" si="0"/>
        <v>0</v>
      </c>
      <c r="E12" s="18">
        <f t="shared" si="0"/>
        <v>0</v>
      </c>
      <c r="F12" s="18">
        <f t="shared" si="0"/>
        <v>0</v>
      </c>
      <c r="G12" s="18">
        <f t="shared" si="0"/>
        <v>0</v>
      </c>
      <c r="H12" s="18">
        <f t="shared" si="0"/>
        <v>0</v>
      </c>
      <c r="I12" s="18">
        <f t="shared" si="0"/>
        <v>0</v>
      </c>
      <c r="J12" s="18">
        <f t="shared" si="0"/>
        <v>0</v>
      </c>
      <c r="K12" s="19">
        <f t="shared" si="0"/>
        <v>0</v>
      </c>
      <c r="L12" s="19">
        <f t="shared" ref="L12:M12" si="1">SUM(L9:L11)</f>
        <v>0</v>
      </c>
      <c r="M12" s="19">
        <f t="shared" si="1"/>
        <v>32789</v>
      </c>
      <c r="N12" s="18">
        <f t="shared" si="0"/>
        <v>0</v>
      </c>
      <c r="O12" s="19">
        <f t="shared" si="0"/>
        <v>47000</v>
      </c>
      <c r="P12" s="19">
        <f>+O12</f>
        <v>47000</v>
      </c>
      <c r="R12" s="18">
        <f t="shared" ref="R12:AS12" si="2">SUM(R9:R11)</f>
        <v>47000</v>
      </c>
      <c r="S12" s="18">
        <f t="shared" si="2"/>
        <v>67000</v>
      </c>
      <c r="T12" s="18">
        <f t="shared" si="2"/>
        <v>71000</v>
      </c>
      <c r="U12" s="18">
        <f t="shared" si="2"/>
        <v>71000</v>
      </c>
      <c r="V12" s="18">
        <f t="shared" si="2"/>
        <v>75000</v>
      </c>
      <c r="W12" s="18">
        <f t="shared" si="2"/>
        <v>74000</v>
      </c>
      <c r="X12" s="18">
        <f t="shared" si="2"/>
        <v>83000</v>
      </c>
      <c r="Y12" s="18">
        <f t="shared" si="2"/>
        <v>82000</v>
      </c>
      <c r="Z12" s="18">
        <f t="shared" si="2"/>
        <v>87000</v>
      </c>
      <c r="AA12" s="18">
        <f t="shared" si="2"/>
        <v>86000</v>
      </c>
      <c r="AB12" s="18">
        <f t="shared" si="2"/>
        <v>91000</v>
      </c>
      <c r="AC12" s="18">
        <f t="shared" si="2"/>
        <v>90000</v>
      </c>
      <c r="AD12" s="18">
        <f t="shared" si="2"/>
        <v>95000</v>
      </c>
      <c r="AE12" s="18">
        <f t="shared" si="2"/>
        <v>95000</v>
      </c>
      <c r="AF12" s="18">
        <f t="shared" si="2"/>
        <v>100000</v>
      </c>
      <c r="AG12" s="18">
        <f t="shared" si="2"/>
        <v>0</v>
      </c>
      <c r="AH12" s="18">
        <f t="shared" si="2"/>
        <v>0</v>
      </c>
      <c r="AI12" s="18">
        <f t="shared" si="2"/>
        <v>0</v>
      </c>
      <c r="AJ12" s="18">
        <f t="shared" si="2"/>
        <v>0</v>
      </c>
      <c r="AK12" s="18">
        <f t="shared" si="2"/>
        <v>0</v>
      </c>
      <c r="AL12" s="18">
        <f t="shared" si="2"/>
        <v>0</v>
      </c>
      <c r="AM12" s="18">
        <f t="shared" si="2"/>
        <v>0</v>
      </c>
      <c r="AN12" s="18">
        <f t="shared" si="2"/>
        <v>0</v>
      </c>
      <c r="AO12" s="18">
        <f t="shared" si="2"/>
        <v>0</v>
      </c>
      <c r="AP12" s="18">
        <f t="shared" si="2"/>
        <v>0</v>
      </c>
      <c r="AQ12" s="18">
        <f t="shared" si="2"/>
        <v>0</v>
      </c>
      <c r="AR12" s="18">
        <f t="shared" si="2"/>
        <v>0</v>
      </c>
      <c r="AS12" s="18">
        <f t="shared" si="2"/>
        <v>0</v>
      </c>
    </row>
    <row r="13" spans="1:45" x14ac:dyDescent="0.25">
      <c r="A13" s="881"/>
      <c r="B13" s="17"/>
      <c r="C13" s="18"/>
      <c r="D13" s="311"/>
      <c r="E13" s="311"/>
      <c r="F13" s="311"/>
      <c r="G13" s="311"/>
      <c r="H13" s="311"/>
      <c r="I13" s="311"/>
      <c r="J13" s="311"/>
      <c r="K13" s="169"/>
      <c r="L13" s="169"/>
      <c r="M13" s="169"/>
      <c r="N13" s="18"/>
      <c r="O13" s="169"/>
      <c r="P13" s="169"/>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row>
    <row r="14" spans="1:45" ht="13.8" thickBot="1" x14ac:dyDescent="0.3">
      <c r="A14" s="881"/>
      <c r="B14" s="98" t="s">
        <v>229</v>
      </c>
      <c r="C14" s="13"/>
      <c r="D14" s="143"/>
      <c r="E14" s="143"/>
      <c r="F14" s="143"/>
      <c r="G14" s="143"/>
      <c r="H14" s="143"/>
      <c r="I14" s="143"/>
      <c r="J14" s="143"/>
      <c r="K14" s="170"/>
      <c r="L14" s="170"/>
      <c r="M14" s="170"/>
      <c r="N14" s="13"/>
      <c r="O14" s="170"/>
      <c r="P14" s="170"/>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row>
    <row r="15" spans="1:45" x14ac:dyDescent="0.25">
      <c r="A15" s="881" t="s">
        <v>1546</v>
      </c>
      <c r="B15" s="63" t="s">
        <v>1548</v>
      </c>
      <c r="C15" s="102"/>
      <c r="D15" s="312"/>
      <c r="E15" s="312"/>
      <c r="F15" s="312"/>
      <c r="G15" s="312"/>
      <c r="H15" s="312"/>
      <c r="I15" s="312"/>
      <c r="J15" s="312"/>
      <c r="K15" s="252"/>
      <c r="L15" s="252"/>
      <c r="M15" s="125">
        <v>5000</v>
      </c>
      <c r="N15" s="102">
        <v>3229.55</v>
      </c>
      <c r="O15" s="125">
        <f>ROUND((+R15),0)</f>
        <v>51131</v>
      </c>
      <c r="P15" s="38"/>
      <c r="R15" s="102">
        <v>51131.46</v>
      </c>
      <c r="S15" s="102">
        <v>32645</v>
      </c>
      <c r="T15" s="102">
        <v>30045</v>
      </c>
      <c r="U15" s="102">
        <v>27365</v>
      </c>
      <c r="V15" s="102">
        <v>24605</v>
      </c>
      <c r="W15" s="102">
        <v>21785</v>
      </c>
      <c r="X15" s="102">
        <v>18805</v>
      </c>
      <c r="Y15" s="102">
        <v>15685</v>
      </c>
      <c r="Z15" s="102">
        <v>13304.5</v>
      </c>
      <c r="AA15" s="102">
        <v>11593.25</v>
      </c>
      <c r="AB15" s="102">
        <v>9755</v>
      </c>
      <c r="AC15" s="102">
        <v>7810</v>
      </c>
      <c r="AD15" s="102">
        <v>5775</v>
      </c>
      <c r="AE15" s="102">
        <v>3570</v>
      </c>
      <c r="AF15" s="102">
        <v>1211.25</v>
      </c>
      <c r="AG15" s="102"/>
      <c r="AH15" s="102"/>
      <c r="AI15" s="102"/>
      <c r="AJ15" s="102"/>
      <c r="AK15" s="102"/>
      <c r="AL15" s="102"/>
      <c r="AM15" s="102"/>
      <c r="AN15" s="102"/>
      <c r="AO15" s="102"/>
      <c r="AP15" s="102"/>
      <c r="AQ15" s="102"/>
      <c r="AR15" s="102"/>
      <c r="AS15" s="102"/>
    </row>
    <row r="16" spans="1:45" x14ac:dyDescent="0.25">
      <c r="A16" s="881" t="s">
        <v>1547</v>
      </c>
      <c r="B16" s="63" t="s">
        <v>1549</v>
      </c>
      <c r="C16" s="118"/>
      <c r="D16" s="313"/>
      <c r="E16" s="313"/>
      <c r="F16" s="313"/>
      <c r="G16" s="313"/>
      <c r="H16" s="313"/>
      <c r="I16" s="313"/>
      <c r="J16" s="313"/>
      <c r="K16" s="253"/>
      <c r="L16" s="253"/>
      <c r="M16" s="253"/>
      <c r="N16" s="118"/>
      <c r="O16" s="125">
        <f>ROUND((+R16),0)+1</f>
        <v>2989</v>
      </c>
      <c r="P16" s="38"/>
      <c r="R16" s="118">
        <v>2987.92</v>
      </c>
      <c r="S16" s="118">
        <v>1890</v>
      </c>
      <c r="T16" s="118">
        <v>1730</v>
      </c>
      <c r="U16" s="118">
        <v>1570</v>
      </c>
      <c r="V16" s="118">
        <v>1410</v>
      </c>
      <c r="W16" s="118">
        <v>1250</v>
      </c>
      <c r="X16" s="118">
        <v>1090</v>
      </c>
      <c r="Y16" s="118">
        <v>910</v>
      </c>
      <c r="Z16" s="118">
        <v>758.75</v>
      </c>
      <c r="AA16" s="118">
        <v>653.75</v>
      </c>
      <c r="AB16" s="118">
        <v>543.75</v>
      </c>
      <c r="AC16" s="118">
        <v>430</v>
      </c>
      <c r="AD16" s="118">
        <v>313.75</v>
      </c>
      <c r="AE16" s="118">
        <v>191.25</v>
      </c>
      <c r="AF16" s="118">
        <v>63.75</v>
      </c>
      <c r="AG16" s="118"/>
      <c r="AH16" s="118"/>
      <c r="AI16" s="118"/>
      <c r="AJ16" s="118"/>
      <c r="AK16" s="118"/>
      <c r="AL16" s="118"/>
      <c r="AM16" s="118"/>
      <c r="AN16" s="118"/>
      <c r="AO16" s="118"/>
      <c r="AP16" s="118"/>
      <c r="AQ16" s="118"/>
      <c r="AR16" s="118"/>
      <c r="AS16" s="118"/>
    </row>
    <row r="17" spans="1:45" ht="13.8" thickBot="1" x14ac:dyDescent="0.3">
      <c r="A17" s="881"/>
      <c r="B17" s="12"/>
      <c r="C17" s="119"/>
      <c r="D17" s="314"/>
      <c r="E17" s="314"/>
      <c r="F17" s="314"/>
      <c r="G17" s="314"/>
      <c r="H17" s="314"/>
      <c r="I17" s="727"/>
      <c r="J17" s="727"/>
      <c r="K17" s="285"/>
      <c r="L17" s="285"/>
      <c r="M17" s="285"/>
      <c r="N17" s="119"/>
      <c r="O17" s="285"/>
      <c r="P17" s="174"/>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row>
    <row r="18" spans="1:45" x14ac:dyDescent="0.25">
      <c r="A18" s="881"/>
      <c r="B18" s="17" t="s">
        <v>229</v>
      </c>
      <c r="C18" s="18">
        <f t="shared" ref="C18:O18" si="3">SUM(C15:C17)</f>
        <v>0</v>
      </c>
      <c r="D18" s="18">
        <f t="shared" si="3"/>
        <v>0</v>
      </c>
      <c r="E18" s="18">
        <f t="shared" si="3"/>
        <v>0</v>
      </c>
      <c r="F18" s="18">
        <f t="shared" si="3"/>
        <v>0</v>
      </c>
      <c r="G18" s="18">
        <f t="shared" si="3"/>
        <v>0</v>
      </c>
      <c r="H18" s="18">
        <f t="shared" si="3"/>
        <v>0</v>
      </c>
      <c r="I18" s="126">
        <f t="shared" si="3"/>
        <v>0</v>
      </c>
      <c r="J18" s="126">
        <f t="shared" si="3"/>
        <v>0</v>
      </c>
      <c r="K18" s="124">
        <f t="shared" si="3"/>
        <v>0</v>
      </c>
      <c r="L18" s="124">
        <f t="shared" ref="L18:M18" si="4">SUM(L15:L17)</f>
        <v>0</v>
      </c>
      <c r="M18" s="124">
        <f t="shared" si="4"/>
        <v>5000</v>
      </c>
      <c r="N18" s="18">
        <f t="shared" si="3"/>
        <v>3229.55</v>
      </c>
      <c r="O18" s="124">
        <f t="shared" si="3"/>
        <v>54120</v>
      </c>
      <c r="P18" s="19">
        <f>+O18</f>
        <v>54120</v>
      </c>
      <c r="R18" s="18">
        <f t="shared" ref="R18:AS18" si="5">SUM(R15:R17)</f>
        <v>54119.38</v>
      </c>
      <c r="S18" s="18">
        <f t="shared" si="5"/>
        <v>34535</v>
      </c>
      <c r="T18" s="18">
        <f t="shared" si="5"/>
        <v>31775</v>
      </c>
      <c r="U18" s="18">
        <f t="shared" si="5"/>
        <v>28935</v>
      </c>
      <c r="V18" s="18">
        <f t="shared" si="5"/>
        <v>26015</v>
      </c>
      <c r="W18" s="18">
        <f t="shared" si="5"/>
        <v>23035</v>
      </c>
      <c r="X18" s="18">
        <f t="shared" si="5"/>
        <v>19895</v>
      </c>
      <c r="Y18" s="18">
        <f t="shared" si="5"/>
        <v>16595</v>
      </c>
      <c r="Z18" s="18">
        <f t="shared" si="5"/>
        <v>14063.25</v>
      </c>
      <c r="AA18" s="18">
        <f t="shared" si="5"/>
        <v>12247</v>
      </c>
      <c r="AB18" s="18">
        <f t="shared" si="5"/>
        <v>10298.75</v>
      </c>
      <c r="AC18" s="18">
        <f t="shared" si="5"/>
        <v>8240</v>
      </c>
      <c r="AD18" s="18">
        <f t="shared" si="5"/>
        <v>6088.75</v>
      </c>
      <c r="AE18" s="18">
        <f t="shared" si="5"/>
        <v>3761.25</v>
      </c>
      <c r="AF18" s="18">
        <f t="shared" si="5"/>
        <v>1275</v>
      </c>
      <c r="AG18" s="18">
        <f t="shared" si="5"/>
        <v>0</v>
      </c>
      <c r="AH18" s="18">
        <f t="shared" si="5"/>
        <v>0</v>
      </c>
      <c r="AI18" s="18">
        <f t="shared" si="5"/>
        <v>0</v>
      </c>
      <c r="AJ18" s="18">
        <f t="shared" si="5"/>
        <v>0</v>
      </c>
      <c r="AK18" s="18">
        <f t="shared" si="5"/>
        <v>0</v>
      </c>
      <c r="AL18" s="18">
        <f t="shared" si="5"/>
        <v>0</v>
      </c>
      <c r="AM18" s="18">
        <f t="shared" si="5"/>
        <v>0</v>
      </c>
      <c r="AN18" s="18">
        <f t="shared" si="5"/>
        <v>0</v>
      </c>
      <c r="AO18" s="18">
        <f t="shared" si="5"/>
        <v>0</v>
      </c>
      <c r="AP18" s="18">
        <f t="shared" si="5"/>
        <v>0</v>
      </c>
      <c r="AQ18" s="18">
        <f t="shared" si="5"/>
        <v>0</v>
      </c>
      <c r="AR18" s="18">
        <f t="shared" si="5"/>
        <v>0</v>
      </c>
      <c r="AS18" s="18">
        <f t="shared" si="5"/>
        <v>0</v>
      </c>
    </row>
    <row r="19" spans="1:45" x14ac:dyDescent="0.25">
      <c r="A19" s="881"/>
      <c r="B19" s="12"/>
      <c r="C19" s="13"/>
      <c r="D19" s="143"/>
      <c r="E19" s="143"/>
      <c r="F19" s="143"/>
      <c r="G19" s="143"/>
      <c r="H19" s="143"/>
      <c r="I19" s="143"/>
      <c r="J19" s="143"/>
      <c r="K19" s="170"/>
      <c r="L19" s="170"/>
      <c r="M19" s="170"/>
      <c r="N19" s="13"/>
      <c r="O19" s="170"/>
      <c r="P19" s="170"/>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row>
    <row r="20" spans="1:45" x14ac:dyDescent="0.25">
      <c r="A20" s="881"/>
      <c r="B20" s="12"/>
      <c r="C20" s="13"/>
      <c r="D20" s="13"/>
      <c r="E20" s="13"/>
      <c r="F20" s="13"/>
      <c r="G20" s="13"/>
      <c r="H20" s="13"/>
      <c r="I20" s="13"/>
      <c r="J20" s="13"/>
      <c r="K20" s="14"/>
      <c r="L20" s="14"/>
      <c r="M20" s="14"/>
      <c r="N20" s="13"/>
      <c r="O20" s="14"/>
      <c r="P20" s="14"/>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row>
    <row r="21" spans="1:45" ht="13.8" thickBot="1" x14ac:dyDescent="0.3">
      <c r="A21" s="882"/>
      <c r="B21" s="20" t="s">
        <v>468</v>
      </c>
      <c r="C21" s="21">
        <f>+C18+C12</f>
        <v>0</v>
      </c>
      <c r="D21" s="21">
        <f t="shared" ref="D21:P21" si="6">+D18+D12</f>
        <v>0</v>
      </c>
      <c r="E21" s="21">
        <f t="shared" si="6"/>
        <v>0</v>
      </c>
      <c r="F21" s="21">
        <f t="shared" si="6"/>
        <v>0</v>
      </c>
      <c r="G21" s="21">
        <f t="shared" si="6"/>
        <v>0</v>
      </c>
      <c r="H21" s="21">
        <f t="shared" si="6"/>
        <v>0</v>
      </c>
      <c r="I21" s="21">
        <f t="shared" si="6"/>
        <v>0</v>
      </c>
      <c r="J21" s="21">
        <f t="shared" si="6"/>
        <v>0</v>
      </c>
      <c r="K21" s="21">
        <f t="shared" si="6"/>
        <v>0</v>
      </c>
      <c r="L21" s="21">
        <f t="shared" ref="L21:M21" si="7">+L18+L12</f>
        <v>0</v>
      </c>
      <c r="M21" s="665">
        <f t="shared" si="7"/>
        <v>37789</v>
      </c>
      <c r="N21" s="21">
        <f t="shared" si="6"/>
        <v>3229.55</v>
      </c>
      <c r="O21" s="21">
        <f t="shared" si="6"/>
        <v>101120</v>
      </c>
      <c r="P21" s="21">
        <f t="shared" si="6"/>
        <v>101120</v>
      </c>
      <c r="R21" s="21">
        <f t="shared" ref="R21:AS21" si="8">+R18+R12</f>
        <v>101119.38</v>
      </c>
      <c r="S21" s="21">
        <f t="shared" si="8"/>
        <v>101535</v>
      </c>
      <c r="T21" s="21">
        <f t="shared" si="8"/>
        <v>102775</v>
      </c>
      <c r="U21" s="21">
        <f t="shared" si="8"/>
        <v>99935</v>
      </c>
      <c r="V21" s="21">
        <f t="shared" si="8"/>
        <v>101015</v>
      </c>
      <c r="W21" s="21">
        <f t="shared" si="8"/>
        <v>97035</v>
      </c>
      <c r="X21" s="21">
        <f t="shared" si="8"/>
        <v>102895</v>
      </c>
      <c r="Y21" s="21">
        <f t="shared" si="8"/>
        <v>98595</v>
      </c>
      <c r="Z21" s="21">
        <f t="shared" si="8"/>
        <v>101063.25</v>
      </c>
      <c r="AA21" s="21">
        <f t="shared" si="8"/>
        <v>98247</v>
      </c>
      <c r="AB21" s="21">
        <f t="shared" si="8"/>
        <v>101298.75</v>
      </c>
      <c r="AC21" s="21">
        <f t="shared" si="8"/>
        <v>98240</v>
      </c>
      <c r="AD21" s="21">
        <f t="shared" si="8"/>
        <v>101088.75</v>
      </c>
      <c r="AE21" s="21">
        <f t="shared" si="8"/>
        <v>98761.25</v>
      </c>
      <c r="AF21" s="21">
        <f t="shared" si="8"/>
        <v>101275</v>
      </c>
      <c r="AG21" s="21">
        <f t="shared" si="8"/>
        <v>0</v>
      </c>
      <c r="AH21" s="21">
        <f t="shared" si="8"/>
        <v>0</v>
      </c>
      <c r="AI21" s="21">
        <f t="shared" si="8"/>
        <v>0</v>
      </c>
      <c r="AJ21" s="21">
        <f t="shared" si="8"/>
        <v>0</v>
      </c>
      <c r="AK21" s="21">
        <f t="shared" si="8"/>
        <v>0</v>
      </c>
      <c r="AL21" s="21">
        <f t="shared" si="8"/>
        <v>0</v>
      </c>
      <c r="AM21" s="21">
        <f t="shared" si="8"/>
        <v>0</v>
      </c>
      <c r="AN21" s="21">
        <f t="shared" si="8"/>
        <v>0</v>
      </c>
      <c r="AO21" s="21">
        <f t="shared" si="8"/>
        <v>0</v>
      </c>
      <c r="AP21" s="21">
        <f t="shared" si="8"/>
        <v>0</v>
      </c>
      <c r="AQ21" s="21">
        <f t="shared" si="8"/>
        <v>0</v>
      </c>
      <c r="AR21" s="21">
        <f t="shared" si="8"/>
        <v>0</v>
      </c>
      <c r="AS21" s="21">
        <f t="shared" si="8"/>
        <v>0</v>
      </c>
    </row>
    <row r="22" spans="1:45" ht="13.8" thickTop="1" x14ac:dyDescent="0.25"/>
  </sheetData>
  <hyperlinks>
    <hyperlink ref="A1" location="'Working Budget with funding det'!A1" display="Main " xr:uid="{00000000-0004-0000-3700-000000000000}"/>
    <hyperlink ref="B1" location="'Table of Contents'!A1" display="TOC" xr:uid="{00000000-0004-0000-3700-000001000000}"/>
  </hyperlinks>
  <pageMargins left="0.7" right="0.7" top="0.75" bottom="0.75" header="0.3" footer="0.3"/>
  <pageSetup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92D050"/>
  </sheetPr>
  <dimension ref="A1:Q36"/>
  <sheetViews>
    <sheetView topLeftCell="A5" workbookViewId="0">
      <selection activeCell="O12" sqref="O12"/>
    </sheetView>
  </sheetViews>
  <sheetFormatPr defaultRowHeight="13.2" x14ac:dyDescent="0.25"/>
  <cols>
    <col min="1" max="1" width="10.109375" style="885" customWidth="1"/>
    <col min="2" max="2" width="25.44140625" customWidth="1"/>
    <col min="3" max="8" width="0" hidden="1" customWidth="1"/>
    <col min="9" max="10" width="10.77734375" hidden="1" customWidth="1"/>
    <col min="11" max="17" width="10.77734375" customWidth="1"/>
  </cols>
  <sheetData>
    <row r="1" spans="1:17" x14ac:dyDescent="0.25">
      <c r="A1" s="897" t="s">
        <v>1021</v>
      </c>
      <c r="B1" s="371" t="s">
        <v>1348</v>
      </c>
      <c r="C1" s="105"/>
      <c r="D1" s="105"/>
      <c r="E1" s="105"/>
      <c r="F1" s="105"/>
      <c r="G1" s="105"/>
      <c r="H1" s="105"/>
      <c r="I1" s="105"/>
      <c r="J1" s="105"/>
      <c r="K1" s="105"/>
      <c r="L1" s="105"/>
      <c r="M1" s="105"/>
      <c r="N1" s="95"/>
      <c r="O1" s="105"/>
      <c r="P1" s="105"/>
      <c r="Q1" s="95"/>
    </row>
    <row r="2" spans="1:17" x14ac:dyDescent="0.25">
      <c r="A2" s="898" t="s">
        <v>1540</v>
      </c>
      <c r="B2" s="95"/>
      <c r="C2" s="105"/>
      <c r="D2" s="23"/>
      <c r="E2" s="105"/>
      <c r="F2" s="23"/>
      <c r="G2" s="23"/>
      <c r="H2" s="23"/>
      <c r="I2" s="105" t="s">
        <v>257</v>
      </c>
      <c r="J2" s="105"/>
      <c r="K2" s="388" t="s">
        <v>1539</v>
      </c>
      <c r="L2" s="388"/>
      <c r="M2" s="388"/>
      <c r="N2" s="105"/>
      <c r="O2" s="389" t="s">
        <v>1541</v>
      </c>
      <c r="P2" s="389"/>
    </row>
    <row r="3" spans="1:17" ht="13.8" thickBot="1" x14ac:dyDescent="0.3">
      <c r="A3" s="898"/>
      <c r="B3" s="95"/>
      <c r="C3" s="105"/>
      <c r="D3" s="105"/>
      <c r="E3" s="105"/>
      <c r="F3" s="105"/>
      <c r="G3" s="105"/>
      <c r="H3" s="105"/>
      <c r="I3" s="105"/>
      <c r="J3" s="105"/>
      <c r="K3" s="105"/>
      <c r="L3" s="105"/>
      <c r="M3" s="105"/>
      <c r="N3" s="95"/>
      <c r="O3" s="105"/>
      <c r="P3" s="105"/>
      <c r="Q3" s="95"/>
    </row>
    <row r="4" spans="1:17" ht="13.8" thickTop="1" x14ac:dyDescent="0.25">
      <c r="A4" s="899"/>
      <c r="B4" s="706"/>
      <c r="C4" s="390" t="s">
        <v>127</v>
      </c>
      <c r="D4" s="390" t="s">
        <v>127</v>
      </c>
      <c r="E4" s="390" t="s">
        <v>127</v>
      </c>
      <c r="F4" s="390" t="s">
        <v>127</v>
      </c>
      <c r="G4" s="390" t="s">
        <v>127</v>
      </c>
      <c r="H4" s="392" t="s">
        <v>127</v>
      </c>
      <c r="I4" s="391" t="s">
        <v>127</v>
      </c>
      <c r="J4" s="391" t="s">
        <v>127</v>
      </c>
      <c r="K4" s="391" t="s">
        <v>547</v>
      </c>
      <c r="L4" s="391" t="s">
        <v>127</v>
      </c>
      <c r="M4" s="391" t="s">
        <v>547</v>
      </c>
      <c r="N4" s="392" t="s">
        <v>495</v>
      </c>
      <c r="O4" s="336" t="s">
        <v>910</v>
      </c>
      <c r="P4" s="336" t="s">
        <v>910</v>
      </c>
      <c r="Q4" s="393" t="s">
        <v>910</v>
      </c>
    </row>
    <row r="5" spans="1:17" x14ac:dyDescent="0.25">
      <c r="A5" s="900"/>
      <c r="B5" s="707"/>
      <c r="C5" s="394"/>
      <c r="D5" s="394"/>
      <c r="E5" s="395"/>
      <c r="F5" s="394"/>
      <c r="G5" s="394"/>
      <c r="H5" s="395"/>
      <c r="I5" s="396"/>
      <c r="J5" s="396"/>
      <c r="K5" s="396"/>
      <c r="L5" s="396"/>
      <c r="M5" s="396"/>
      <c r="N5" s="395" t="s">
        <v>515</v>
      </c>
      <c r="O5" s="337" t="s">
        <v>7</v>
      </c>
      <c r="P5" s="337" t="s">
        <v>267</v>
      </c>
      <c r="Q5" s="397" t="s">
        <v>782</v>
      </c>
    </row>
    <row r="6" spans="1:17" x14ac:dyDescent="0.25">
      <c r="A6" s="900"/>
      <c r="B6" s="707"/>
      <c r="C6" s="394"/>
      <c r="D6" s="394"/>
      <c r="E6" s="395"/>
      <c r="F6" s="394"/>
      <c r="G6" s="395"/>
      <c r="H6" s="395"/>
      <c r="I6" s="396"/>
      <c r="J6" s="396"/>
      <c r="K6" s="396"/>
      <c r="L6" s="396"/>
      <c r="M6" s="396"/>
      <c r="N6" s="395"/>
      <c r="O6" s="337" t="s">
        <v>8</v>
      </c>
      <c r="P6" s="337" t="s">
        <v>546</v>
      </c>
      <c r="Q6" s="247" t="s">
        <v>543</v>
      </c>
    </row>
    <row r="7" spans="1:17" ht="13.8" thickBot="1" x14ac:dyDescent="0.3">
      <c r="A7" s="901" t="s">
        <v>128</v>
      </c>
      <c r="B7" s="708"/>
      <c r="C7" s="398" t="s">
        <v>347</v>
      </c>
      <c r="D7" s="398" t="s">
        <v>722</v>
      </c>
      <c r="E7" s="399" t="s">
        <v>737</v>
      </c>
      <c r="F7" s="338" t="s">
        <v>789</v>
      </c>
      <c r="G7" s="399" t="s">
        <v>889</v>
      </c>
      <c r="H7" s="399" t="s">
        <v>1018</v>
      </c>
      <c r="I7" s="399" t="s">
        <v>1072</v>
      </c>
      <c r="J7" s="399" t="s">
        <v>907</v>
      </c>
      <c r="K7" s="399" t="s">
        <v>908</v>
      </c>
      <c r="L7" s="399" t="s">
        <v>908</v>
      </c>
      <c r="M7" s="399" t="s">
        <v>909</v>
      </c>
      <c r="N7" s="400">
        <v>44561</v>
      </c>
      <c r="O7" s="399" t="s">
        <v>9</v>
      </c>
      <c r="P7" s="399"/>
      <c r="Q7" s="338" t="s">
        <v>546</v>
      </c>
    </row>
    <row r="8" spans="1:17" ht="13.8" thickTop="1" x14ac:dyDescent="0.25">
      <c r="A8" s="902"/>
      <c r="B8" s="720"/>
      <c r="C8" s="403"/>
      <c r="D8" s="410"/>
      <c r="E8" s="401"/>
      <c r="F8" s="439"/>
      <c r="G8" s="401"/>
      <c r="H8" s="401"/>
      <c r="I8" s="402"/>
      <c r="J8" s="402"/>
      <c r="K8" s="402"/>
      <c r="L8" s="402"/>
      <c r="M8" s="402"/>
      <c r="N8" s="403"/>
      <c r="O8" s="404"/>
      <c r="P8" s="404"/>
      <c r="Q8" s="404"/>
    </row>
    <row r="9" spans="1:17" x14ac:dyDescent="0.25">
      <c r="A9" s="903">
        <v>5171</v>
      </c>
      <c r="B9" s="236" t="s">
        <v>237</v>
      </c>
      <c r="C9" s="405"/>
      <c r="D9" s="144"/>
      <c r="E9" s="405"/>
      <c r="F9" s="144"/>
      <c r="G9" s="405"/>
      <c r="H9" s="405"/>
      <c r="I9" s="405"/>
      <c r="J9" s="405"/>
      <c r="K9" s="331"/>
      <c r="L9" s="331"/>
      <c r="M9" s="331"/>
      <c r="N9" s="405"/>
      <c r="O9" s="331">
        <v>13828</v>
      </c>
      <c r="P9" s="331"/>
      <c r="Q9" s="331"/>
    </row>
    <row r="10" spans="1:17" x14ac:dyDescent="0.25">
      <c r="A10" s="903">
        <v>5172</v>
      </c>
      <c r="B10" s="236" t="s">
        <v>238</v>
      </c>
      <c r="C10" s="405"/>
      <c r="D10" s="126"/>
      <c r="E10" s="406"/>
      <c r="F10" s="126"/>
      <c r="G10" s="406"/>
      <c r="H10" s="406"/>
      <c r="I10" s="406"/>
      <c r="J10" s="406"/>
      <c r="K10" s="332"/>
      <c r="L10" s="332"/>
      <c r="M10" s="332">
        <v>3500</v>
      </c>
      <c r="N10" s="405"/>
      <c r="O10" s="332">
        <v>3500</v>
      </c>
      <c r="P10" s="332"/>
      <c r="Q10" s="332"/>
    </row>
    <row r="11" spans="1:17" x14ac:dyDescent="0.25">
      <c r="A11" s="903">
        <v>5173</v>
      </c>
      <c r="B11" s="236" t="s">
        <v>239</v>
      </c>
      <c r="C11" s="405"/>
      <c r="D11" s="126"/>
      <c r="E11" s="406"/>
      <c r="F11" s="126"/>
      <c r="G11" s="406"/>
      <c r="H11" s="406"/>
      <c r="I11" s="406"/>
      <c r="J11" s="406"/>
      <c r="K11" s="332"/>
      <c r="L11" s="332"/>
      <c r="M11" s="332"/>
      <c r="N11" s="405"/>
      <c r="O11" s="332"/>
      <c r="P11" s="332"/>
      <c r="Q11" s="332"/>
    </row>
    <row r="12" spans="1:17" x14ac:dyDescent="0.25">
      <c r="A12" s="903">
        <v>5174</v>
      </c>
      <c r="B12" s="236" t="s">
        <v>240</v>
      </c>
      <c r="C12" s="405"/>
      <c r="D12" s="144"/>
      <c r="E12" s="405"/>
      <c r="F12" s="144"/>
      <c r="G12" s="405"/>
      <c r="H12" s="405"/>
      <c r="I12" s="405"/>
      <c r="J12" s="405"/>
      <c r="K12" s="331"/>
      <c r="L12" s="331"/>
      <c r="M12" s="331">
        <v>7007</v>
      </c>
      <c r="N12" s="405">
        <v>3862.35</v>
      </c>
      <c r="O12" s="331">
        <v>14000</v>
      </c>
      <c r="P12" s="331"/>
      <c r="Q12" s="331"/>
    </row>
    <row r="13" spans="1:17" x14ac:dyDescent="0.25">
      <c r="A13" s="903">
        <v>5175</v>
      </c>
      <c r="B13" s="236" t="s">
        <v>241</v>
      </c>
      <c r="C13" s="405"/>
      <c r="D13" s="144"/>
      <c r="E13" s="405"/>
      <c r="F13" s="144"/>
      <c r="G13" s="405"/>
      <c r="H13" s="405"/>
      <c r="I13" s="405"/>
      <c r="J13" s="405"/>
      <c r="K13" s="331"/>
      <c r="L13" s="331"/>
      <c r="M13" s="331">
        <v>155</v>
      </c>
      <c r="N13" s="405"/>
      <c r="O13" s="331">
        <v>310</v>
      </c>
      <c r="P13" s="331"/>
      <c r="Q13" s="331"/>
    </row>
    <row r="14" spans="1:17" ht="13.8" thickBot="1" x14ac:dyDescent="0.3">
      <c r="A14" s="903">
        <v>5176</v>
      </c>
      <c r="B14" s="236" t="s">
        <v>242</v>
      </c>
      <c r="C14" s="407"/>
      <c r="D14" s="318"/>
      <c r="E14" s="407"/>
      <c r="F14" s="318"/>
      <c r="G14" s="407"/>
      <c r="H14" s="407"/>
      <c r="I14" s="407"/>
      <c r="J14" s="407"/>
      <c r="K14" s="333"/>
      <c r="L14" s="333"/>
      <c r="M14" s="333">
        <v>1230</v>
      </c>
      <c r="N14" s="407">
        <v>597.5</v>
      </c>
      <c r="O14" s="333">
        <f>ROUND((+'600 482 Airport'!O15*0.0145),0)</f>
        <v>1463</v>
      </c>
      <c r="P14" s="333"/>
      <c r="Q14" s="333"/>
    </row>
    <row r="15" spans="1:17" x14ac:dyDescent="0.25">
      <c r="A15" s="903"/>
      <c r="B15" s="721" t="s">
        <v>130</v>
      </c>
      <c r="C15" s="406">
        <f t="shared" ref="C15:O15" si="0">SUM(C9:C14)</f>
        <v>0</v>
      </c>
      <c r="D15" s="126">
        <f t="shared" si="0"/>
        <v>0</v>
      </c>
      <c r="E15" s="406">
        <f t="shared" si="0"/>
        <v>0</v>
      </c>
      <c r="F15" s="126">
        <f>SUM(F9:F14)</f>
        <v>0</v>
      </c>
      <c r="G15" s="406">
        <f>SUM(G9:G14)</f>
        <v>0</v>
      </c>
      <c r="H15" s="406">
        <f>SUM(H9:H14)</f>
        <v>0</v>
      </c>
      <c r="I15" s="406">
        <f t="shared" si="0"/>
        <v>0</v>
      </c>
      <c r="J15" s="406">
        <f t="shared" si="0"/>
        <v>0</v>
      </c>
      <c r="K15" s="332">
        <f t="shared" ref="K15:M15" si="1">SUM(K9:K14)</f>
        <v>0</v>
      </c>
      <c r="L15" s="332">
        <f t="shared" si="1"/>
        <v>0</v>
      </c>
      <c r="M15" s="332">
        <f t="shared" si="1"/>
        <v>11892</v>
      </c>
      <c r="N15" s="406">
        <f t="shared" si="0"/>
        <v>4459.8500000000004</v>
      </c>
      <c r="O15" s="332">
        <f t="shared" si="0"/>
        <v>33101</v>
      </c>
      <c r="P15" s="332"/>
      <c r="Q15" s="332">
        <f>SUM(Q9:Q14)</f>
        <v>0</v>
      </c>
    </row>
    <row r="16" spans="1:17" x14ac:dyDescent="0.25">
      <c r="A16" s="903"/>
      <c r="B16" s="236"/>
      <c r="C16" s="405"/>
      <c r="D16" s="144"/>
      <c r="E16" s="405"/>
      <c r="F16" s="144"/>
      <c r="G16" s="405"/>
      <c r="H16" s="405"/>
      <c r="I16" s="405"/>
      <c r="J16" s="405"/>
      <c r="K16" s="331"/>
      <c r="L16" s="331"/>
      <c r="M16" s="331"/>
      <c r="N16" s="405"/>
      <c r="O16" s="331"/>
      <c r="P16" s="331"/>
      <c r="Q16" s="331"/>
    </row>
    <row r="17" spans="1:17" x14ac:dyDescent="0.25">
      <c r="A17" s="903"/>
      <c r="B17" s="236"/>
      <c r="C17" s="405"/>
      <c r="D17" s="144"/>
      <c r="E17" s="405"/>
      <c r="F17" s="144"/>
      <c r="G17" s="405"/>
      <c r="H17" s="405"/>
      <c r="I17" s="405"/>
      <c r="J17" s="405"/>
      <c r="K17" s="331"/>
      <c r="L17" s="331"/>
      <c r="M17" s="331"/>
      <c r="N17" s="405"/>
      <c r="O17" s="331"/>
      <c r="P17" s="331"/>
      <c r="Q17" s="331"/>
    </row>
    <row r="18" spans="1:17" ht="13.8" thickBot="1" x14ac:dyDescent="0.3">
      <c r="A18" s="904"/>
      <c r="B18" s="722" t="s">
        <v>469</v>
      </c>
      <c r="C18" s="408">
        <f t="shared" ref="C18:O18" si="2">+C15</f>
        <v>0</v>
      </c>
      <c r="D18" s="321">
        <f t="shared" si="2"/>
        <v>0</v>
      </c>
      <c r="E18" s="408">
        <f>+E15</f>
        <v>0</v>
      </c>
      <c r="F18" s="321">
        <f>+F15</f>
        <v>0</v>
      </c>
      <c r="G18" s="408">
        <f>+G15</f>
        <v>0</v>
      </c>
      <c r="H18" s="408">
        <f>+H15</f>
        <v>0</v>
      </c>
      <c r="I18" s="408">
        <f t="shared" si="2"/>
        <v>0</v>
      </c>
      <c r="J18" s="408">
        <f t="shared" si="2"/>
        <v>0</v>
      </c>
      <c r="K18" s="409">
        <f t="shared" si="2"/>
        <v>0</v>
      </c>
      <c r="L18" s="409">
        <f t="shared" ref="L18:M18" si="3">+L15</f>
        <v>0</v>
      </c>
      <c r="M18" s="409">
        <f t="shared" si="3"/>
        <v>11892</v>
      </c>
      <c r="N18" s="408">
        <f t="shared" si="2"/>
        <v>4459.8500000000004</v>
      </c>
      <c r="O18" s="409">
        <f t="shared" si="2"/>
        <v>33101</v>
      </c>
      <c r="P18" s="409">
        <f>+O18</f>
        <v>33101</v>
      </c>
      <c r="Q18" s="409">
        <f>+O18</f>
        <v>33101</v>
      </c>
    </row>
    <row r="19" spans="1:17" ht="13.8" thickTop="1" x14ac:dyDescent="0.25">
      <c r="A19" s="905"/>
      <c r="B19" s="83"/>
      <c r="C19" s="24"/>
      <c r="D19" s="24"/>
      <c r="E19" s="24"/>
      <c r="F19" s="24"/>
      <c r="G19" s="24"/>
      <c r="H19" s="24"/>
      <c r="I19" s="24"/>
      <c r="J19" s="24"/>
      <c r="K19" s="24"/>
      <c r="L19" s="24"/>
      <c r="M19" s="24"/>
      <c r="N19" s="25"/>
      <c r="O19" s="24"/>
      <c r="P19" s="24"/>
      <c r="Q19" s="23"/>
    </row>
    <row r="20" spans="1:17" x14ac:dyDescent="0.25">
      <c r="A20" s="57">
        <v>44522</v>
      </c>
      <c r="B20" s="4" t="s">
        <v>1658</v>
      </c>
      <c r="C20" s="24"/>
      <c r="D20" s="24"/>
      <c r="E20" s="24"/>
      <c r="F20" s="24"/>
      <c r="G20" s="24"/>
      <c r="H20" s="24"/>
      <c r="I20" s="24"/>
      <c r="J20" s="24"/>
      <c r="K20" s="24"/>
      <c r="L20" s="24"/>
      <c r="M20" s="24"/>
      <c r="N20" s="25"/>
      <c r="O20" s="24"/>
      <c r="P20" s="24"/>
      <c r="Q20" s="24"/>
    </row>
    <row r="21" spans="1:17" x14ac:dyDescent="0.25">
      <c r="A21" s="66">
        <v>44587</v>
      </c>
      <c r="B21" s="4" t="s">
        <v>1869</v>
      </c>
      <c r="C21" s="24"/>
      <c r="D21" s="24"/>
      <c r="E21" s="24"/>
      <c r="F21" s="24"/>
      <c r="G21" s="24"/>
      <c r="H21" s="24"/>
      <c r="I21" s="24"/>
      <c r="J21" s="24"/>
      <c r="K21" s="24"/>
      <c r="L21" s="24"/>
      <c r="M21" s="24"/>
      <c r="N21" s="25"/>
      <c r="O21" s="24"/>
      <c r="P21" s="24"/>
      <c r="Q21" s="24"/>
    </row>
    <row r="22" spans="1:17" x14ac:dyDescent="0.25">
      <c r="A22" s="876"/>
      <c r="B22" s="4"/>
      <c r="C22" s="24"/>
      <c r="D22" s="24"/>
      <c r="E22" s="24"/>
      <c r="F22" s="24"/>
      <c r="G22" s="24"/>
      <c r="H22" s="24"/>
      <c r="I22" s="24"/>
      <c r="J22" s="24"/>
      <c r="K22" s="24"/>
      <c r="L22" s="24"/>
      <c r="M22" s="24"/>
      <c r="N22" s="25"/>
      <c r="O22" s="24"/>
      <c r="P22" s="24"/>
      <c r="Q22" s="24"/>
    </row>
    <row r="23" spans="1:17" x14ac:dyDescent="0.25">
      <c r="A23" s="876"/>
      <c r="B23" s="4"/>
      <c r="C23" s="24"/>
      <c r="D23" s="24"/>
      <c r="E23" s="24"/>
      <c r="F23" s="24"/>
      <c r="G23" s="24"/>
      <c r="H23" s="24"/>
      <c r="I23" s="24"/>
      <c r="J23" s="24"/>
      <c r="K23" s="24"/>
      <c r="L23" s="24"/>
      <c r="M23" s="24"/>
      <c r="N23" s="25"/>
      <c r="O23" s="24"/>
      <c r="P23" s="24"/>
      <c r="Q23" s="24"/>
    </row>
    <row r="24" spans="1:17" ht="14.4" thickBot="1" x14ac:dyDescent="0.3">
      <c r="A24" s="889"/>
      <c r="B24" s="4"/>
      <c r="C24" s="24"/>
      <c r="D24" s="24"/>
      <c r="E24" s="24"/>
      <c r="F24" s="24"/>
      <c r="G24" s="24"/>
      <c r="H24" s="24"/>
      <c r="I24" s="24"/>
      <c r="J24" s="24"/>
      <c r="K24" s="24"/>
      <c r="L24" s="24"/>
      <c r="M24" s="24"/>
      <c r="N24" s="25"/>
      <c r="O24" s="24"/>
      <c r="P24" s="24"/>
      <c r="Q24" s="24"/>
    </row>
    <row r="25" spans="1:17" ht="13.8" thickTop="1" x14ac:dyDescent="0.25">
      <c r="A25" s="893"/>
      <c r="B25" s="452"/>
      <c r="C25" s="453"/>
      <c r="D25" s="454"/>
      <c r="E25" s="453"/>
      <c r="F25" s="23"/>
      <c r="G25" s="23"/>
      <c r="H25" s="23"/>
      <c r="K25" s="455" t="s">
        <v>547</v>
      </c>
      <c r="L25" s="456" t="s">
        <v>9</v>
      </c>
      <c r="M25" s="457" t="s">
        <v>1073</v>
      </c>
      <c r="N25" s="456" t="s">
        <v>686</v>
      </c>
      <c r="O25" s="458"/>
      <c r="P25" s="681"/>
      <c r="Q25" s="457"/>
    </row>
    <row r="26" spans="1:17" ht="13.8" thickBot="1" x14ac:dyDescent="0.3">
      <c r="A26" s="894"/>
      <c r="B26" s="536"/>
      <c r="C26" s="537"/>
      <c r="D26" s="537"/>
      <c r="E26" s="520"/>
      <c r="F26" s="23"/>
      <c r="G26" s="23"/>
      <c r="H26" s="23"/>
      <c r="K26" s="462" t="s">
        <v>909</v>
      </c>
      <c r="L26" s="462" t="s">
        <v>910</v>
      </c>
      <c r="M26" s="520" t="s">
        <v>1075</v>
      </c>
      <c r="N26" s="522" t="s">
        <v>1075</v>
      </c>
      <c r="O26" s="464" t="s">
        <v>1074</v>
      </c>
      <c r="P26" s="682"/>
      <c r="Q26" s="462"/>
    </row>
    <row r="27" spans="1:17" ht="13.8" thickTop="1" x14ac:dyDescent="0.25">
      <c r="A27" s="906"/>
      <c r="B27" s="538"/>
      <c r="C27" s="526"/>
      <c r="D27" s="525"/>
      <c r="E27" s="525"/>
      <c r="F27" s="23"/>
      <c r="G27" s="23"/>
      <c r="H27" s="23"/>
      <c r="K27" s="525"/>
      <c r="L27" s="525"/>
      <c r="M27" s="539"/>
      <c r="N27" s="526"/>
      <c r="O27" s="533"/>
      <c r="P27" s="1110"/>
      <c r="Q27" s="534"/>
    </row>
    <row r="28" spans="1:17" x14ac:dyDescent="0.25">
      <c r="A28" s="907">
        <v>5171</v>
      </c>
      <c r="B28" s="501" t="s">
        <v>237</v>
      </c>
      <c r="C28" s="476"/>
      <c r="D28" s="476"/>
      <c r="E28" s="476"/>
      <c r="F28" s="23"/>
      <c r="G28" s="23"/>
      <c r="H28" s="23"/>
      <c r="K28" s="475">
        <f t="shared" ref="K28:K33" si="4">+M9</f>
        <v>0</v>
      </c>
      <c r="L28" s="497">
        <f t="shared" ref="L28:L33" si="5">+O9</f>
        <v>13828</v>
      </c>
      <c r="M28" s="475">
        <f t="shared" ref="M28:M33" si="6">+L28-K28</f>
        <v>13828</v>
      </c>
      <c r="N28" s="477">
        <f t="shared" ref="N28:N33" si="7">IF(K28+L28&lt;&gt;0,IF(K28&lt;&gt;0,IF(M28&lt;&gt;0,ROUND((+M28/K28),4),""),1),"")</f>
        <v>1</v>
      </c>
      <c r="O28" s="470" t="s">
        <v>1696</v>
      </c>
      <c r="P28" s="684"/>
      <c r="Q28" s="471"/>
    </row>
    <row r="29" spans="1:17" x14ac:dyDescent="0.25">
      <c r="A29" s="907">
        <v>5172</v>
      </c>
      <c r="B29" s="501" t="s">
        <v>238</v>
      </c>
      <c r="C29" s="476"/>
      <c r="D29" s="476"/>
      <c r="E29" s="476"/>
      <c r="F29" s="23"/>
      <c r="G29" s="23"/>
      <c r="H29" s="23"/>
      <c r="K29" s="475">
        <f t="shared" si="4"/>
        <v>3500</v>
      </c>
      <c r="L29" s="497">
        <f t="shared" si="5"/>
        <v>3500</v>
      </c>
      <c r="M29" s="475">
        <f t="shared" si="6"/>
        <v>0</v>
      </c>
      <c r="N29" s="477" t="str">
        <f t="shared" si="7"/>
        <v/>
      </c>
      <c r="O29" s="470"/>
      <c r="P29" s="1111"/>
      <c r="Q29" s="500"/>
    </row>
    <row r="30" spans="1:17" x14ac:dyDescent="0.25">
      <c r="A30" s="907">
        <v>5173</v>
      </c>
      <c r="B30" s="501" t="s">
        <v>239</v>
      </c>
      <c r="C30" s="476"/>
      <c r="D30" s="476"/>
      <c r="E30" s="476"/>
      <c r="F30" s="23"/>
      <c r="G30" s="23"/>
      <c r="H30" s="23"/>
      <c r="K30" s="475">
        <f t="shared" si="4"/>
        <v>0</v>
      </c>
      <c r="L30" s="497">
        <f t="shared" si="5"/>
        <v>0</v>
      </c>
      <c r="M30" s="475">
        <f t="shared" si="6"/>
        <v>0</v>
      </c>
      <c r="N30" s="477" t="str">
        <f t="shared" si="7"/>
        <v/>
      </c>
      <c r="O30" s="470"/>
      <c r="P30" s="1111"/>
      <c r="Q30" s="500"/>
    </row>
    <row r="31" spans="1:17" x14ac:dyDescent="0.25">
      <c r="A31" s="907">
        <v>5174</v>
      </c>
      <c r="B31" s="501" t="s">
        <v>240</v>
      </c>
      <c r="C31" s="476"/>
      <c r="D31" s="476"/>
      <c r="E31" s="476"/>
      <c r="F31" s="23"/>
      <c r="G31" s="23"/>
      <c r="H31" s="23"/>
      <c r="K31" s="475">
        <f t="shared" si="4"/>
        <v>7007</v>
      </c>
      <c r="L31" s="497">
        <f t="shared" si="5"/>
        <v>14000</v>
      </c>
      <c r="M31" s="475">
        <f t="shared" si="6"/>
        <v>6993</v>
      </c>
      <c r="N31" s="477">
        <f t="shared" si="7"/>
        <v>0.998</v>
      </c>
      <c r="O31" s="470" t="s">
        <v>1697</v>
      </c>
      <c r="P31" s="684"/>
      <c r="Q31" s="471"/>
    </row>
    <row r="32" spans="1:17" x14ac:dyDescent="0.25">
      <c r="A32" s="907">
        <v>5175</v>
      </c>
      <c r="B32" s="501" t="s">
        <v>241</v>
      </c>
      <c r="C32" s="476"/>
      <c r="D32" s="476"/>
      <c r="E32" s="476"/>
      <c r="F32" s="23"/>
      <c r="G32" s="23"/>
      <c r="H32" s="23"/>
      <c r="K32" s="475">
        <f t="shared" si="4"/>
        <v>155</v>
      </c>
      <c r="L32" s="497">
        <f t="shared" si="5"/>
        <v>310</v>
      </c>
      <c r="M32" s="475">
        <f t="shared" si="6"/>
        <v>155</v>
      </c>
      <c r="N32" s="477">
        <f t="shared" si="7"/>
        <v>1</v>
      </c>
      <c r="O32" s="470" t="s">
        <v>1839</v>
      </c>
      <c r="P32" s="684"/>
      <c r="Q32" s="471"/>
    </row>
    <row r="33" spans="1:17" x14ac:dyDescent="0.25">
      <c r="A33" s="907">
        <v>5176</v>
      </c>
      <c r="B33" s="501" t="s">
        <v>242</v>
      </c>
      <c r="C33" s="476"/>
      <c r="D33" s="476"/>
      <c r="E33" s="476"/>
      <c r="F33" s="23"/>
      <c r="G33" s="23"/>
      <c r="H33" s="23"/>
      <c r="K33" s="475">
        <f t="shared" si="4"/>
        <v>1230</v>
      </c>
      <c r="L33" s="497">
        <f t="shared" si="5"/>
        <v>1463</v>
      </c>
      <c r="M33" s="475">
        <f t="shared" si="6"/>
        <v>233</v>
      </c>
      <c r="N33" s="477">
        <f t="shared" si="7"/>
        <v>0.18940000000000001</v>
      </c>
      <c r="O33" s="470" t="s">
        <v>1840</v>
      </c>
      <c r="P33" s="684"/>
      <c r="Q33" s="471"/>
    </row>
    <row r="34" spans="1:17" x14ac:dyDescent="0.25">
      <c r="A34" s="907"/>
      <c r="B34" s="501"/>
      <c r="C34" s="476"/>
      <c r="D34" s="476"/>
      <c r="E34" s="476"/>
      <c r="F34" s="23"/>
      <c r="G34" s="23"/>
      <c r="H34" s="23"/>
      <c r="K34" s="475"/>
      <c r="L34" s="497"/>
      <c r="M34" s="475"/>
      <c r="N34" s="476"/>
      <c r="O34" s="470"/>
      <c r="P34" s="684"/>
      <c r="Q34" s="471"/>
    </row>
    <row r="35" spans="1:17" x14ac:dyDescent="0.25">
      <c r="A35" s="876"/>
      <c r="B35" s="4"/>
      <c r="C35" s="23"/>
      <c r="D35" s="23"/>
      <c r="E35" s="23"/>
      <c r="F35" s="23"/>
      <c r="G35" s="23"/>
      <c r="H35" s="23"/>
      <c r="K35" s="23"/>
      <c r="L35" s="23"/>
      <c r="M35" s="23"/>
      <c r="N35" s="27"/>
      <c r="O35" s="23"/>
      <c r="P35" s="23"/>
      <c r="Q35" s="23"/>
    </row>
    <row r="36" spans="1:17" x14ac:dyDescent="0.25">
      <c r="A36" s="876"/>
      <c r="B36" s="4" t="s">
        <v>1363</v>
      </c>
      <c r="C36" s="23"/>
      <c r="D36" s="23"/>
      <c r="E36" s="23"/>
      <c r="F36" s="23"/>
      <c r="G36" s="23"/>
      <c r="H36" s="23"/>
      <c r="K36" s="742">
        <f>SUM(K28:K35)</f>
        <v>11892</v>
      </c>
      <c r="L36" s="742">
        <f>SUM(L28:L35)</f>
        <v>33101</v>
      </c>
      <c r="M36" s="202">
        <f>+L36-K36</f>
        <v>21209</v>
      </c>
      <c r="N36" s="743">
        <f>IF(K36+L36&lt;&gt;0,IF(K36&lt;&gt;0,IF(M36&lt;&gt;0,ROUND((+M36/K36),4),""),1),"")</f>
        <v>1.7835000000000001</v>
      </c>
      <c r="O36" s="23"/>
      <c r="P36" s="23"/>
      <c r="Q36" s="23"/>
    </row>
  </sheetData>
  <hyperlinks>
    <hyperlink ref="A1" location="'Working Budget with funding det'!A1" display="Main " xr:uid="{00000000-0004-0000-3800-000000000000}"/>
    <hyperlink ref="B1" location="'Table of Contents'!A1" display="TOC" xr:uid="{00000000-0004-0000-3800-000001000000}"/>
  </hyperlinks>
  <pageMargins left="0.7" right="0.7" top="0.75" bottom="0.75" header="0.3" footer="0.3"/>
  <pageSetup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00B0F0"/>
  </sheetPr>
  <dimension ref="A1:X135"/>
  <sheetViews>
    <sheetView zoomScaleNormal="100" workbookViewId="0">
      <pane ySplit="7" topLeftCell="A63" activePane="bottomLeft" state="frozen"/>
      <selection activeCell="P7" sqref="P7"/>
      <selection pane="bottomLeft" activeCell="B80" sqref="B80"/>
    </sheetView>
  </sheetViews>
  <sheetFormatPr defaultRowHeight="13.2" x14ac:dyDescent="0.25"/>
  <cols>
    <col min="1" max="1" width="12.44140625" style="885" customWidth="1"/>
    <col min="2" max="2" width="36.6640625" customWidth="1"/>
    <col min="3" max="3" width="15.77734375" style="1" hidden="1" customWidth="1"/>
    <col min="4" max="10" width="15.44140625" style="114" hidden="1" customWidth="1"/>
    <col min="11" max="13" width="15.44140625" style="114" customWidth="1"/>
    <col min="14" max="14" width="14.44140625" customWidth="1"/>
    <col min="15" max="16" width="14.44140625" style="1" customWidth="1"/>
    <col min="17" max="17" width="23" style="1" customWidth="1"/>
    <col min="18" max="18" width="7.77734375" customWidth="1"/>
    <col min="19" max="19" width="15.44140625" style="4" customWidth="1"/>
    <col min="20" max="20" width="20.77734375" style="95" customWidth="1"/>
    <col min="21" max="21" width="4.33203125" style="95" customWidth="1"/>
    <col min="22" max="22" width="14.44140625" style="95" customWidth="1"/>
    <col min="23" max="24" width="9.33203125" style="4"/>
  </cols>
  <sheetData>
    <row r="1" spans="1:22" x14ac:dyDescent="0.25">
      <c r="A1" s="874" t="s">
        <v>1021</v>
      </c>
      <c r="B1" s="371" t="s">
        <v>1348</v>
      </c>
      <c r="Q1"/>
    </row>
    <row r="2" spans="1:22" ht="13.8" x14ac:dyDescent="0.25">
      <c r="A2" s="875" t="s">
        <v>269</v>
      </c>
      <c r="B2" s="45"/>
      <c r="E2" s="141"/>
      <c r="I2" s="141" t="s">
        <v>257</v>
      </c>
      <c r="J2" s="141"/>
      <c r="K2" s="141"/>
      <c r="L2" s="141"/>
      <c r="M2" s="141"/>
      <c r="N2" s="61" t="s">
        <v>270</v>
      </c>
      <c r="O2" s="46" t="s">
        <v>508</v>
      </c>
    </row>
    <row r="3" spans="1:22" ht="13.8" thickBot="1" x14ac:dyDescent="0.3">
      <c r="A3" s="876"/>
      <c r="B3" s="4"/>
      <c r="C3" s="23"/>
      <c r="D3" s="23"/>
      <c r="E3" s="23"/>
      <c r="F3" s="23"/>
      <c r="G3" s="23"/>
      <c r="H3" s="23"/>
      <c r="I3" s="23"/>
      <c r="J3" s="23"/>
      <c r="K3" s="23"/>
      <c r="L3" s="23"/>
      <c r="M3" s="23"/>
      <c r="N3" s="4"/>
      <c r="O3" s="23"/>
      <c r="P3" s="4"/>
      <c r="Q3" s="4"/>
    </row>
    <row r="4" spans="1:22" ht="13.8" thickTop="1" x14ac:dyDescent="0.25">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t="s">
        <v>910</v>
      </c>
      <c r="V4" s="4"/>
    </row>
    <row r="5" spans="1:22" x14ac:dyDescent="0.25">
      <c r="A5" s="878"/>
      <c r="B5" s="209"/>
      <c r="C5" s="127"/>
      <c r="D5" s="87"/>
      <c r="E5" s="113"/>
      <c r="F5" s="87"/>
      <c r="G5" s="87"/>
      <c r="H5" s="113"/>
      <c r="I5" s="396"/>
      <c r="J5" s="396"/>
      <c r="K5" s="396"/>
      <c r="L5" s="396"/>
      <c r="M5" s="396"/>
      <c r="N5" s="113" t="s">
        <v>515</v>
      </c>
      <c r="O5" s="88" t="s">
        <v>270</v>
      </c>
      <c r="P5" s="203" t="s">
        <v>782</v>
      </c>
      <c r="V5" s="4"/>
    </row>
    <row r="6" spans="1:22" x14ac:dyDescent="0.25">
      <c r="A6" s="878"/>
      <c r="B6" s="209"/>
      <c r="C6" s="111"/>
      <c r="D6" s="127"/>
      <c r="E6" s="127"/>
      <c r="F6" s="127"/>
      <c r="G6" s="127"/>
      <c r="H6" s="127"/>
      <c r="I6" s="337"/>
      <c r="J6" s="337"/>
      <c r="K6" s="337"/>
      <c r="L6" s="337"/>
      <c r="M6" s="337"/>
      <c r="N6" s="87"/>
      <c r="O6" s="88" t="s">
        <v>661</v>
      </c>
      <c r="P6" s="47" t="s">
        <v>543</v>
      </c>
      <c r="V6" s="4"/>
    </row>
    <row r="7" spans="1:22" ht="13.8" thickBot="1" x14ac:dyDescent="0.3">
      <c r="A7" s="879" t="s">
        <v>128</v>
      </c>
      <c r="B7" s="82"/>
      <c r="C7" s="308" t="s">
        <v>347</v>
      </c>
      <c r="D7" s="308" t="s">
        <v>722</v>
      </c>
      <c r="E7" s="81" t="s">
        <v>737</v>
      </c>
      <c r="F7" s="81" t="s">
        <v>789</v>
      </c>
      <c r="G7" s="81" t="s">
        <v>889</v>
      </c>
      <c r="H7" s="81" t="s">
        <v>1018</v>
      </c>
      <c r="I7" s="81" t="s">
        <v>1072</v>
      </c>
      <c r="J7" s="81" t="s">
        <v>907</v>
      </c>
      <c r="K7" s="81" t="s">
        <v>908</v>
      </c>
      <c r="L7" s="81" t="s">
        <v>908</v>
      </c>
      <c r="M7" s="81" t="s">
        <v>909</v>
      </c>
      <c r="N7" s="136">
        <v>44561</v>
      </c>
      <c r="O7" s="81" t="s">
        <v>1242</v>
      </c>
      <c r="P7" s="9" t="s">
        <v>546</v>
      </c>
      <c r="V7" s="4"/>
    </row>
    <row r="8" spans="1:22" ht="13.8" thickTop="1" x14ac:dyDescent="0.25">
      <c r="A8" s="880"/>
      <c r="B8" s="177"/>
      <c r="C8" s="129"/>
      <c r="D8" s="315"/>
      <c r="E8" s="315"/>
      <c r="F8" s="315"/>
      <c r="G8" s="315"/>
      <c r="H8" s="315"/>
      <c r="I8" s="227"/>
      <c r="J8" s="227"/>
      <c r="K8" s="227"/>
      <c r="L8" s="227"/>
      <c r="M8" s="227"/>
      <c r="N8" s="62"/>
      <c r="O8" s="35"/>
      <c r="P8" s="35"/>
      <c r="V8" s="4"/>
    </row>
    <row r="9" spans="1:22" x14ac:dyDescent="0.25">
      <c r="A9" s="881">
        <v>5110</v>
      </c>
      <c r="B9" s="110" t="s">
        <v>994</v>
      </c>
      <c r="C9" s="130">
        <v>296676.09999999998</v>
      </c>
      <c r="D9" s="13">
        <v>317703.17</v>
      </c>
      <c r="E9" s="13">
        <f>9155+388922.89</f>
        <v>398077.89</v>
      </c>
      <c r="F9" s="13">
        <f>11469+373319.32</f>
        <v>384788.32</v>
      </c>
      <c r="G9" s="13">
        <v>344810.16</v>
      </c>
      <c r="H9" s="13">
        <v>364652.43</v>
      </c>
      <c r="I9" s="144">
        <f>85.6+362920.23</f>
        <v>363005.82999999996</v>
      </c>
      <c r="J9" s="144">
        <v>374517.52</v>
      </c>
      <c r="K9" s="122">
        <v>402257</v>
      </c>
      <c r="L9" s="144">
        <v>368084.88</v>
      </c>
      <c r="M9" s="122">
        <v>432332</v>
      </c>
      <c r="N9" s="13">
        <v>189947.75</v>
      </c>
      <c r="O9" s="122">
        <f>ROUND((+SUM(N73:N82)),0)</f>
        <v>481993</v>
      </c>
      <c r="P9" s="14"/>
      <c r="V9" s="4"/>
    </row>
    <row r="10" spans="1:22" x14ac:dyDescent="0.25">
      <c r="A10" s="881">
        <v>5132</v>
      </c>
      <c r="B10" s="63" t="s">
        <v>981</v>
      </c>
      <c r="C10" s="130">
        <v>40622.949999999997</v>
      </c>
      <c r="D10" s="13">
        <v>47734.400000000001</v>
      </c>
      <c r="E10" s="13">
        <v>53816.19</v>
      </c>
      <c r="F10" s="13">
        <v>49287.91</v>
      </c>
      <c r="G10" s="13">
        <v>41580.33</v>
      </c>
      <c r="H10" s="13">
        <v>37781.25</v>
      </c>
      <c r="I10" s="13">
        <v>37235.25</v>
      </c>
      <c r="J10" s="13">
        <v>30286.33</v>
      </c>
      <c r="K10" s="14">
        <v>45000</v>
      </c>
      <c r="L10" s="13">
        <v>43743.199999999997</v>
      </c>
      <c r="M10" s="14">
        <v>45000</v>
      </c>
      <c r="N10" s="13">
        <v>24118.16</v>
      </c>
      <c r="O10" s="122">
        <v>45000</v>
      </c>
      <c r="P10" s="14"/>
      <c r="V10" s="4"/>
    </row>
    <row r="11" spans="1:22" x14ac:dyDescent="0.25">
      <c r="A11" s="881">
        <v>5140</v>
      </c>
      <c r="B11" s="63" t="s">
        <v>995</v>
      </c>
      <c r="C11" s="711">
        <v>8578.26</v>
      </c>
      <c r="D11" s="101">
        <v>7749.24</v>
      </c>
      <c r="E11" s="424">
        <f>-2212.7+8969.83</f>
        <v>6757.13</v>
      </c>
      <c r="F11" s="101">
        <f>-1514.61+8288.9</f>
        <v>6774.29</v>
      </c>
      <c r="G11" s="101">
        <v>11218.94</v>
      </c>
      <c r="H11" s="101">
        <v>11132.47</v>
      </c>
      <c r="I11" s="101">
        <f>4.3+10974.32</f>
        <v>10978.619999999999</v>
      </c>
      <c r="J11" s="101">
        <v>11145.71</v>
      </c>
      <c r="K11" s="60">
        <v>14000</v>
      </c>
      <c r="L11" s="101">
        <f>8785.81+1701+15+200</f>
        <v>10701.81</v>
      </c>
      <c r="M11" s="60">
        <v>14000</v>
      </c>
      <c r="N11" s="101">
        <f>891+4254.25</f>
        <v>5145.25</v>
      </c>
      <c r="O11" s="422">
        <v>14000</v>
      </c>
      <c r="P11" s="60"/>
      <c r="V11" s="4"/>
    </row>
    <row r="12" spans="1:22" x14ac:dyDescent="0.25">
      <c r="A12" s="881">
        <v>5193</v>
      </c>
      <c r="B12" s="63" t="s">
        <v>699</v>
      </c>
      <c r="C12" s="711"/>
      <c r="D12" s="101"/>
      <c r="E12" s="101"/>
      <c r="F12" s="101">
        <v>8903.26</v>
      </c>
      <c r="G12" s="101">
        <v>6177.6</v>
      </c>
      <c r="H12" s="101">
        <v>3999.44</v>
      </c>
      <c r="I12" s="101">
        <v>0</v>
      </c>
      <c r="J12" s="101">
        <v>1022.8</v>
      </c>
      <c r="K12" s="422"/>
      <c r="L12" s="1009">
        <v>2878.39</v>
      </c>
      <c r="M12" s="422"/>
      <c r="N12" s="101">
        <v>573.55999999999995</v>
      </c>
      <c r="O12" s="422"/>
      <c r="P12" s="60"/>
      <c r="V12" s="4"/>
    </row>
    <row r="13" spans="1:22" ht="13.8" thickBot="1" x14ac:dyDescent="0.3">
      <c r="A13" s="881">
        <v>5194</v>
      </c>
      <c r="B13" s="63" t="s">
        <v>226</v>
      </c>
      <c r="C13" s="712"/>
      <c r="D13" s="363"/>
      <c r="E13" s="363"/>
      <c r="F13" s="363">
        <v>3500</v>
      </c>
      <c r="G13" s="363">
        <v>1167.19</v>
      </c>
      <c r="H13" s="363"/>
      <c r="I13" s="363">
        <v>0</v>
      </c>
      <c r="J13" s="363">
        <v>3500</v>
      </c>
      <c r="K13" s="423"/>
      <c r="L13" s="1010"/>
      <c r="M13" s="423"/>
      <c r="N13" s="363"/>
      <c r="O13" s="423"/>
      <c r="P13" s="364"/>
      <c r="V13" s="4"/>
    </row>
    <row r="14" spans="1:22" x14ac:dyDescent="0.25">
      <c r="A14" s="881"/>
      <c r="B14" s="64" t="s">
        <v>130</v>
      </c>
      <c r="C14" s="132">
        <f t="shared" ref="C14:N14" si="0">SUM(C9:C13)</f>
        <v>345877.31</v>
      </c>
      <c r="D14" s="18">
        <f t="shared" si="0"/>
        <v>373186.81</v>
      </c>
      <c r="E14" s="18">
        <f t="shared" si="0"/>
        <v>458651.21</v>
      </c>
      <c r="F14" s="18">
        <f t="shared" si="0"/>
        <v>453253.77999999997</v>
      </c>
      <c r="G14" s="18">
        <f t="shared" si="0"/>
        <v>404954.22</v>
      </c>
      <c r="H14" s="18">
        <f t="shared" si="0"/>
        <v>417565.58999999997</v>
      </c>
      <c r="I14" s="18">
        <f t="shared" si="0"/>
        <v>411219.69999999995</v>
      </c>
      <c r="J14" s="18">
        <f t="shared" si="0"/>
        <v>420472.36000000004</v>
      </c>
      <c r="K14" s="36">
        <f t="shared" ref="K14:M14" si="1">SUM(K9:K13)</f>
        <v>461257</v>
      </c>
      <c r="L14" s="18">
        <f t="shared" si="1"/>
        <v>425408.28</v>
      </c>
      <c r="M14" s="36">
        <f t="shared" si="1"/>
        <v>491332</v>
      </c>
      <c r="N14" s="18">
        <f t="shared" si="0"/>
        <v>219784.72</v>
      </c>
      <c r="O14" s="249">
        <f>SUM(O9:O13)</f>
        <v>540993</v>
      </c>
      <c r="P14" s="36"/>
      <c r="V14" s="4"/>
    </row>
    <row r="15" spans="1:22" x14ac:dyDescent="0.25">
      <c r="A15" s="881"/>
      <c r="B15" s="63"/>
      <c r="C15" s="130"/>
      <c r="D15" s="13"/>
      <c r="E15" s="13"/>
      <c r="F15" s="13"/>
      <c r="G15" s="13"/>
      <c r="H15" s="13"/>
      <c r="I15" s="13"/>
      <c r="J15" s="13"/>
      <c r="K15" s="14"/>
      <c r="L15" s="13"/>
      <c r="M15" s="14"/>
      <c r="N15" s="13"/>
      <c r="O15" s="122"/>
      <c r="P15" s="14"/>
      <c r="Q15" s="224"/>
      <c r="V15" s="4"/>
    </row>
    <row r="16" spans="1:22" x14ac:dyDescent="0.25">
      <c r="A16" s="881">
        <v>5211</v>
      </c>
      <c r="B16" s="63" t="s">
        <v>249</v>
      </c>
      <c r="C16" s="130">
        <v>137014.16</v>
      </c>
      <c r="D16" s="13">
        <v>153979.65</v>
      </c>
      <c r="E16" s="13">
        <v>158236.51</v>
      </c>
      <c r="F16" s="13">
        <v>202830.2</v>
      </c>
      <c r="G16" s="13">
        <v>177304.13</v>
      </c>
      <c r="H16" s="13">
        <v>148421.29</v>
      </c>
      <c r="I16" s="13">
        <v>131404.39000000001</v>
      </c>
      <c r="J16" s="13">
        <v>117881.62</v>
      </c>
      <c r="K16" s="14">
        <v>140000</v>
      </c>
      <c r="L16" s="13">
        <v>116458.19</v>
      </c>
      <c r="M16" s="14">
        <v>140000</v>
      </c>
      <c r="N16" s="13">
        <v>66147.23</v>
      </c>
      <c r="O16" s="122">
        <v>140000</v>
      </c>
      <c r="P16" s="14"/>
      <c r="Q16" s="1">
        <f>+O16-M16</f>
        <v>0</v>
      </c>
      <c r="R16" s="2"/>
      <c r="V16" s="4"/>
    </row>
    <row r="17" spans="1:22" x14ac:dyDescent="0.25">
      <c r="A17" s="881">
        <v>5211.1000000000004</v>
      </c>
      <c r="B17" s="63" t="s">
        <v>250</v>
      </c>
      <c r="C17" s="130">
        <v>18658.89</v>
      </c>
      <c r="D17" s="13">
        <v>22524.48</v>
      </c>
      <c r="E17" s="13">
        <v>20914.47</v>
      </c>
      <c r="F17" s="13">
        <v>19466.740000000002</v>
      </c>
      <c r="G17" s="13">
        <v>17307.36</v>
      </c>
      <c r="H17" s="13">
        <v>20107.810000000001</v>
      </c>
      <c r="I17" s="13">
        <v>22051.08</v>
      </c>
      <c r="J17" s="13">
        <v>20843.27</v>
      </c>
      <c r="K17" s="14">
        <v>23000</v>
      </c>
      <c r="L17" s="13">
        <v>19545.88</v>
      </c>
      <c r="M17" s="14">
        <v>23000</v>
      </c>
      <c r="N17" s="13">
        <v>8708.4599999999991</v>
      </c>
      <c r="O17" s="122">
        <v>23000</v>
      </c>
      <c r="P17" s="14"/>
      <c r="V17" s="4"/>
    </row>
    <row r="18" spans="1:22" x14ac:dyDescent="0.25">
      <c r="A18" s="881">
        <v>5213</v>
      </c>
      <c r="B18" s="63" t="s">
        <v>1005</v>
      </c>
      <c r="C18" s="130">
        <v>6649.98</v>
      </c>
      <c r="D18" s="13">
        <v>21358.57</v>
      </c>
      <c r="E18" s="13">
        <v>11430.85</v>
      </c>
      <c r="F18" s="13">
        <v>12732.56</v>
      </c>
      <c r="G18" s="13">
        <v>9500</v>
      </c>
      <c r="H18" s="13">
        <v>14721.35</v>
      </c>
      <c r="I18" s="13">
        <v>16367.06</v>
      </c>
      <c r="J18" s="13">
        <v>16335.31</v>
      </c>
      <c r="K18" s="122">
        <v>16000</v>
      </c>
      <c r="L18" s="144">
        <v>20823.25</v>
      </c>
      <c r="M18" s="14">
        <v>16500</v>
      </c>
      <c r="N18" s="13">
        <v>1170.6199999999999</v>
      </c>
      <c r="O18" s="122">
        <v>16500</v>
      </c>
      <c r="P18" s="14"/>
      <c r="R18" s="2"/>
      <c r="V18" s="4"/>
    </row>
    <row r="19" spans="1:22" x14ac:dyDescent="0.25">
      <c r="A19" s="881">
        <v>5280</v>
      </c>
      <c r="B19" s="12" t="s">
        <v>251</v>
      </c>
      <c r="C19" s="13">
        <v>134216.60999999999</v>
      </c>
      <c r="D19" s="13">
        <v>17243.32</v>
      </c>
      <c r="E19" s="13">
        <v>23212.07</v>
      </c>
      <c r="F19" s="13">
        <v>19009.61</v>
      </c>
      <c r="G19" s="13">
        <v>116440.22</v>
      </c>
      <c r="H19" s="13">
        <v>347935.71</v>
      </c>
      <c r="I19" s="13">
        <v>245056.56</v>
      </c>
      <c r="J19" s="13">
        <v>211337.24</v>
      </c>
      <c r="K19" s="122">
        <v>170000</v>
      </c>
      <c r="L19" s="144">
        <v>200533.18</v>
      </c>
      <c r="M19" s="14">
        <v>170000</v>
      </c>
      <c r="N19" s="13">
        <v>49878.99</v>
      </c>
      <c r="O19" s="14">
        <v>321000</v>
      </c>
      <c r="P19" s="14"/>
      <c r="R19" s="2"/>
      <c r="V19" s="4"/>
    </row>
    <row r="20" spans="1:22" x14ac:dyDescent="0.25">
      <c r="A20" s="881">
        <v>5300</v>
      </c>
      <c r="B20" s="12" t="s">
        <v>996</v>
      </c>
      <c r="C20" s="13">
        <v>35721.64</v>
      </c>
      <c r="D20" s="13">
        <v>47452.11</v>
      </c>
      <c r="E20" s="13">
        <v>53067.38</v>
      </c>
      <c r="F20" s="13">
        <v>67725.37</v>
      </c>
      <c r="G20" s="13">
        <v>127093.29</v>
      </c>
      <c r="H20" s="13">
        <v>72531.63</v>
      </c>
      <c r="I20" s="13">
        <f>668.5+247.93+118988.1</f>
        <v>119904.53</v>
      </c>
      <c r="J20" s="13">
        <v>84086.18</v>
      </c>
      <c r="K20" s="122">
        <v>80000</v>
      </c>
      <c r="L20" s="144">
        <v>66549.98</v>
      </c>
      <c r="M20" s="14">
        <v>74000</v>
      </c>
      <c r="N20" s="13">
        <v>28779.21</v>
      </c>
      <c r="O20" s="14">
        <v>44000</v>
      </c>
      <c r="P20" s="14"/>
      <c r="R20" s="2"/>
      <c r="V20" s="4"/>
    </row>
    <row r="21" spans="1:22" x14ac:dyDescent="0.25">
      <c r="A21" s="881">
        <v>5301</v>
      </c>
      <c r="B21" s="12" t="s">
        <v>1408</v>
      </c>
      <c r="C21" s="13"/>
      <c r="D21" s="13"/>
      <c r="E21" s="13"/>
      <c r="F21" s="13"/>
      <c r="G21" s="13"/>
      <c r="H21" s="13"/>
      <c r="I21" s="13"/>
      <c r="J21" s="13"/>
      <c r="K21" s="122"/>
      <c r="L21" s="144">
        <v>5455.82</v>
      </c>
      <c r="M21" s="14">
        <v>6000</v>
      </c>
      <c r="N21" s="13">
        <v>6751</v>
      </c>
      <c r="O21" s="14">
        <v>7200</v>
      </c>
      <c r="P21" s="14"/>
      <c r="R21" s="2"/>
      <c r="V21" s="4"/>
    </row>
    <row r="22" spans="1:22" x14ac:dyDescent="0.25">
      <c r="A22" s="881">
        <v>5304</v>
      </c>
      <c r="B22" s="12" t="s">
        <v>1409</v>
      </c>
      <c r="C22" s="13"/>
      <c r="D22" s="13"/>
      <c r="E22" s="13"/>
      <c r="F22" s="13"/>
      <c r="G22" s="13"/>
      <c r="H22" s="13"/>
      <c r="I22" s="13"/>
      <c r="J22" s="13"/>
      <c r="K22" s="122"/>
      <c r="L22" s="144">
        <v>212.54</v>
      </c>
      <c r="M22" s="14"/>
      <c r="N22" s="13">
        <v>33.61</v>
      </c>
      <c r="O22" s="14">
        <v>500</v>
      </c>
      <c r="P22" s="14"/>
      <c r="R22" s="2"/>
      <c r="V22" s="4"/>
    </row>
    <row r="23" spans="1:22" x14ac:dyDescent="0.25">
      <c r="A23" s="881">
        <v>5305</v>
      </c>
      <c r="B23" s="12" t="s">
        <v>1602</v>
      </c>
      <c r="C23" s="13"/>
      <c r="D23" s="13"/>
      <c r="E23" s="13"/>
      <c r="F23" s="13"/>
      <c r="G23" s="13"/>
      <c r="H23" s="13"/>
      <c r="I23" s="13"/>
      <c r="J23" s="13"/>
      <c r="K23" s="122"/>
      <c r="L23" s="144">
        <v>30602.77</v>
      </c>
      <c r="M23" s="14"/>
      <c r="N23" s="13">
        <v>17522.560000000001</v>
      </c>
      <c r="O23" s="14">
        <v>35000</v>
      </c>
      <c r="P23" s="14"/>
      <c r="R23" s="2"/>
      <c r="V23" s="4"/>
    </row>
    <row r="24" spans="1:22" x14ac:dyDescent="0.25">
      <c r="A24" s="881">
        <v>5310</v>
      </c>
      <c r="B24" s="12" t="s">
        <v>1006</v>
      </c>
      <c r="C24" s="13">
        <v>12172.69</v>
      </c>
      <c r="D24" s="13">
        <v>14914.04</v>
      </c>
      <c r="E24" s="13">
        <v>14098.49</v>
      </c>
      <c r="F24" s="13">
        <v>21070.639999999999</v>
      </c>
      <c r="G24" s="13">
        <v>5527.94</v>
      </c>
      <c r="H24" s="13">
        <v>6258.04</v>
      </c>
      <c r="I24" s="13">
        <v>7562.31</v>
      </c>
      <c r="J24" s="13">
        <v>3632.98</v>
      </c>
      <c r="K24" s="14">
        <v>6000</v>
      </c>
      <c r="L24" s="13">
        <v>14806.16</v>
      </c>
      <c r="M24" s="14">
        <v>6000</v>
      </c>
      <c r="N24" s="13">
        <v>16018.24</v>
      </c>
      <c r="O24" s="14">
        <v>6000</v>
      </c>
      <c r="P24" s="14"/>
      <c r="R24" s="2"/>
      <c r="V24" s="4"/>
    </row>
    <row r="25" spans="1:22" x14ac:dyDescent="0.25">
      <c r="A25" s="881">
        <v>5320</v>
      </c>
      <c r="B25" s="12" t="s">
        <v>997</v>
      </c>
      <c r="C25" s="13">
        <v>4819.55</v>
      </c>
      <c r="D25" s="13">
        <v>3932.01</v>
      </c>
      <c r="E25" s="13">
        <v>3421.26</v>
      </c>
      <c r="F25" s="13">
        <v>4986.45</v>
      </c>
      <c r="G25" s="13">
        <v>370</v>
      </c>
      <c r="H25" s="13">
        <v>2304.7600000000002</v>
      </c>
      <c r="I25" s="13">
        <v>3057.15</v>
      </c>
      <c r="J25" s="13">
        <v>8948.39</v>
      </c>
      <c r="K25" s="14">
        <v>5000</v>
      </c>
      <c r="L25" s="13">
        <v>10328.93</v>
      </c>
      <c r="M25" s="14">
        <v>5000</v>
      </c>
      <c r="N25" s="13">
        <v>4870.8100000000004</v>
      </c>
      <c r="O25" s="14">
        <v>5000</v>
      </c>
      <c r="P25" s="14"/>
      <c r="R25" s="2"/>
      <c r="V25" s="4"/>
    </row>
    <row r="26" spans="1:22" x14ac:dyDescent="0.25">
      <c r="A26" s="881">
        <v>5340</v>
      </c>
      <c r="B26" s="12" t="s">
        <v>1410</v>
      </c>
      <c r="C26" s="13">
        <v>4512.16</v>
      </c>
      <c r="D26" s="13">
        <v>5927.79</v>
      </c>
      <c r="E26" s="13">
        <v>4900.01</v>
      </c>
      <c r="F26" s="13">
        <v>6659.89</v>
      </c>
      <c r="G26" s="13">
        <v>10068.68</v>
      </c>
      <c r="H26" s="13">
        <v>6947.79</v>
      </c>
      <c r="I26" s="13">
        <v>5122.66</v>
      </c>
      <c r="J26" s="13">
        <v>7895.55</v>
      </c>
      <c r="K26" s="14">
        <v>5500</v>
      </c>
      <c r="L26" s="13">
        <v>12827.09</v>
      </c>
      <c r="M26" s="14">
        <v>6500</v>
      </c>
      <c r="N26" s="13">
        <v>1382.09</v>
      </c>
      <c r="O26" s="14">
        <v>6500</v>
      </c>
      <c r="P26" s="14"/>
      <c r="R26" s="2"/>
      <c r="V26" s="4"/>
    </row>
    <row r="27" spans="1:22" x14ac:dyDescent="0.25">
      <c r="A27" s="881">
        <v>5360</v>
      </c>
      <c r="B27" s="12" t="s">
        <v>1009</v>
      </c>
      <c r="C27" s="13">
        <v>9859.64</v>
      </c>
      <c r="D27" s="13">
        <v>5291.42</v>
      </c>
      <c r="E27" s="13">
        <v>8758.2900000000009</v>
      </c>
      <c r="F27" s="13">
        <v>2497.3200000000002</v>
      </c>
      <c r="G27" s="13">
        <v>438.84</v>
      </c>
      <c r="H27" s="13">
        <v>833.51</v>
      </c>
      <c r="I27" s="13">
        <v>2535.92</v>
      </c>
      <c r="J27" s="13">
        <v>370.47</v>
      </c>
      <c r="K27" s="14">
        <v>4000</v>
      </c>
      <c r="L27" s="13">
        <v>3472.83</v>
      </c>
      <c r="M27" s="14">
        <v>2500</v>
      </c>
      <c r="N27" s="13">
        <v>6666.3</v>
      </c>
      <c r="O27" s="14">
        <v>2500</v>
      </c>
      <c r="P27" s="14"/>
      <c r="R27" s="2"/>
      <c r="V27" s="4"/>
    </row>
    <row r="28" spans="1:22" x14ac:dyDescent="0.25">
      <c r="A28" s="881">
        <v>5370</v>
      </c>
      <c r="B28" s="12" t="s">
        <v>1010</v>
      </c>
      <c r="C28" s="13">
        <v>39750.15</v>
      </c>
      <c r="D28" s="13">
        <v>52934.559999999998</v>
      </c>
      <c r="E28" s="13">
        <v>37319.800000000003</v>
      </c>
      <c r="F28" s="13">
        <v>33062.550000000003</v>
      </c>
      <c r="G28" s="13">
        <v>20465.38</v>
      </c>
      <c r="H28" s="13">
        <v>11041.44</v>
      </c>
      <c r="I28" s="13">
        <v>3300.07</v>
      </c>
      <c r="J28" s="13">
        <v>6677.25</v>
      </c>
      <c r="K28" s="14">
        <v>18000</v>
      </c>
      <c r="L28" s="13">
        <f>742.19+14873.95</f>
        <v>15616.140000000001</v>
      </c>
      <c r="M28" s="14">
        <v>13500</v>
      </c>
      <c r="N28" s="13">
        <v>17562.64</v>
      </c>
      <c r="O28" s="14">
        <v>16000</v>
      </c>
      <c r="P28" s="14"/>
      <c r="R28" s="2"/>
      <c r="V28" s="4"/>
    </row>
    <row r="29" spans="1:22" x14ac:dyDescent="0.25">
      <c r="A29" s="881">
        <v>5371</v>
      </c>
      <c r="B29" s="12" t="s">
        <v>1411</v>
      </c>
      <c r="C29" s="13"/>
      <c r="D29" s="13"/>
      <c r="E29" s="13"/>
      <c r="F29" s="13"/>
      <c r="G29" s="13"/>
      <c r="H29" s="13"/>
      <c r="I29" s="13"/>
      <c r="J29" s="13"/>
      <c r="K29" s="14"/>
      <c r="L29" s="13">
        <v>7829.94</v>
      </c>
      <c r="M29" s="14">
        <v>6000</v>
      </c>
      <c r="N29" s="13">
        <v>6820.48</v>
      </c>
      <c r="O29" s="14">
        <v>6000</v>
      </c>
      <c r="P29" s="14"/>
      <c r="R29" s="2"/>
      <c r="V29" s="4"/>
    </row>
    <row r="30" spans="1:22" x14ac:dyDescent="0.25">
      <c r="A30" s="881">
        <v>5400</v>
      </c>
      <c r="B30" s="12" t="s">
        <v>1011</v>
      </c>
      <c r="C30" s="13">
        <v>126571.34</v>
      </c>
      <c r="D30" s="13">
        <v>194414.73</v>
      </c>
      <c r="E30" s="13">
        <v>187781.86</v>
      </c>
      <c r="F30" s="13">
        <v>161595.32999999999</v>
      </c>
      <c r="G30" s="13">
        <v>145944.88</v>
      </c>
      <c r="H30" s="13">
        <v>83636.39</v>
      </c>
      <c r="I30" s="13">
        <v>108153.09</v>
      </c>
      <c r="J30" s="13">
        <v>130627.74</v>
      </c>
      <c r="K30" s="14">
        <v>120000</v>
      </c>
      <c r="L30" s="13">
        <v>25710.06</v>
      </c>
      <c r="M30" s="14">
        <v>116000</v>
      </c>
      <c r="N30" s="13">
        <v>2092.7800000000002</v>
      </c>
      <c r="O30" s="14">
        <v>72500</v>
      </c>
      <c r="P30" s="14"/>
      <c r="R30" s="2"/>
      <c r="V30" s="4"/>
    </row>
    <row r="31" spans="1:22" x14ac:dyDescent="0.25">
      <c r="A31" s="881">
        <v>5401</v>
      </c>
      <c r="B31" s="12" t="s">
        <v>1412</v>
      </c>
      <c r="C31" s="13"/>
      <c r="D31" s="13"/>
      <c r="E31" s="13"/>
      <c r="F31" s="13"/>
      <c r="G31" s="13"/>
      <c r="H31" s="13"/>
      <c r="I31" s="13"/>
      <c r="J31" s="13"/>
      <c r="K31" s="14"/>
      <c r="L31" s="13">
        <v>3312.65</v>
      </c>
      <c r="M31" s="14"/>
      <c r="N31" s="13">
        <v>213.17</v>
      </c>
      <c r="O31" s="14">
        <v>5000</v>
      </c>
      <c r="P31" s="14"/>
      <c r="R31" s="2"/>
      <c r="V31" s="4"/>
    </row>
    <row r="32" spans="1:22" x14ac:dyDescent="0.25">
      <c r="A32" s="881">
        <v>5402</v>
      </c>
      <c r="B32" s="12" t="s">
        <v>1603</v>
      </c>
      <c r="C32" s="13"/>
      <c r="D32" s="13"/>
      <c r="E32" s="13"/>
      <c r="F32" s="13"/>
      <c r="G32" s="13"/>
      <c r="H32" s="13"/>
      <c r="I32" s="13"/>
      <c r="J32" s="13"/>
      <c r="K32" s="14"/>
      <c r="L32" s="13">
        <v>27708.65</v>
      </c>
      <c r="M32" s="14"/>
      <c r="N32" s="13">
        <v>5956.79</v>
      </c>
      <c r="O32" s="14">
        <v>30000</v>
      </c>
      <c r="P32" s="14"/>
      <c r="R32" s="2"/>
      <c r="V32" s="4"/>
    </row>
    <row r="33" spans="1:22" x14ac:dyDescent="0.25">
      <c r="A33" s="881">
        <v>5403</v>
      </c>
      <c r="B33" s="12" t="s">
        <v>1413</v>
      </c>
      <c r="C33" s="13"/>
      <c r="D33" s="13"/>
      <c r="E33" s="13"/>
      <c r="F33" s="13"/>
      <c r="G33" s="13"/>
      <c r="H33" s="13"/>
      <c r="I33" s="13"/>
      <c r="J33" s="13"/>
      <c r="K33" s="14"/>
      <c r="L33" s="13">
        <v>6345.81</v>
      </c>
      <c r="M33" s="14"/>
      <c r="N33" s="13">
        <v>6474</v>
      </c>
      <c r="O33" s="14">
        <v>7000</v>
      </c>
      <c r="P33" s="14"/>
      <c r="R33" s="2"/>
      <c r="V33" s="4"/>
    </row>
    <row r="34" spans="1:22" hidden="1" x14ac:dyDescent="0.25">
      <c r="A34" s="881">
        <v>5401</v>
      </c>
      <c r="B34" s="12" t="s">
        <v>1412</v>
      </c>
      <c r="C34" s="13"/>
      <c r="D34" s="13"/>
      <c r="E34" s="13"/>
      <c r="F34" s="13"/>
      <c r="G34" s="13"/>
      <c r="H34" s="13"/>
      <c r="I34" s="13"/>
      <c r="J34" s="13"/>
      <c r="K34" s="14"/>
      <c r="L34" s="13"/>
      <c r="M34" s="14">
        <f t="shared" ref="M34:O45" si="2">ROUND((+I34*1.01),0)</f>
        <v>0</v>
      </c>
      <c r="N34" s="13"/>
      <c r="O34" s="14">
        <f t="shared" si="2"/>
        <v>0</v>
      </c>
      <c r="P34" s="14"/>
      <c r="R34" s="2"/>
      <c r="V34" s="4"/>
    </row>
    <row r="35" spans="1:22" hidden="1" x14ac:dyDescent="0.25">
      <c r="A35" s="881">
        <v>5402</v>
      </c>
      <c r="B35" s="12" t="s">
        <v>1414</v>
      </c>
      <c r="C35" s="13"/>
      <c r="D35" s="13"/>
      <c r="E35" s="13"/>
      <c r="F35" s="13"/>
      <c r="G35" s="13"/>
      <c r="H35" s="13"/>
      <c r="I35" s="13"/>
      <c r="J35" s="13"/>
      <c r="K35" s="14"/>
      <c r="L35" s="13"/>
      <c r="M35" s="14">
        <f t="shared" si="2"/>
        <v>0</v>
      </c>
      <c r="N35" s="13"/>
      <c r="O35" s="14">
        <f t="shared" si="2"/>
        <v>0</v>
      </c>
      <c r="P35" s="14"/>
      <c r="R35" s="2"/>
      <c r="V35" s="4"/>
    </row>
    <row r="36" spans="1:22" hidden="1" x14ac:dyDescent="0.25">
      <c r="A36" s="881">
        <v>5403</v>
      </c>
      <c r="B36" s="12" t="s">
        <v>1413</v>
      </c>
      <c r="C36" s="13"/>
      <c r="D36" s="13"/>
      <c r="E36" s="13"/>
      <c r="F36" s="13"/>
      <c r="G36" s="13"/>
      <c r="H36" s="13"/>
      <c r="I36" s="13"/>
      <c r="J36" s="13"/>
      <c r="K36" s="14"/>
      <c r="L36" s="13"/>
      <c r="M36" s="14">
        <f t="shared" si="2"/>
        <v>0</v>
      </c>
      <c r="N36" s="13"/>
      <c r="O36" s="14">
        <f t="shared" si="2"/>
        <v>0</v>
      </c>
      <c r="P36" s="14"/>
      <c r="R36" s="2"/>
      <c r="V36" s="4"/>
    </row>
    <row r="37" spans="1:22" x14ac:dyDescent="0.25">
      <c r="A37" s="881">
        <v>5404</v>
      </c>
      <c r="B37" s="12" t="s">
        <v>1008</v>
      </c>
      <c r="C37" s="13">
        <v>32931.160000000003</v>
      </c>
      <c r="D37" s="13">
        <v>34304.69</v>
      </c>
      <c r="E37" s="13">
        <v>88858.54</v>
      </c>
      <c r="F37" s="13">
        <v>47817.16</v>
      </c>
      <c r="G37" s="13">
        <v>23258.93</v>
      </c>
      <c r="H37" s="13">
        <v>10008.66</v>
      </c>
      <c r="I37" s="13">
        <v>2276.17</v>
      </c>
      <c r="J37" s="13">
        <v>61810.96</v>
      </c>
      <c r="K37" s="14">
        <v>20000</v>
      </c>
      <c r="L37" s="13">
        <v>7122.36</v>
      </c>
      <c r="M37" s="14">
        <v>20000</v>
      </c>
      <c r="N37" s="13">
        <v>28966</v>
      </c>
      <c r="O37" s="14">
        <v>20000</v>
      </c>
      <c r="P37" s="14"/>
      <c r="R37" s="2"/>
      <c r="V37" s="4"/>
    </row>
    <row r="38" spans="1:22" x14ac:dyDescent="0.25">
      <c r="A38" s="881">
        <v>5406</v>
      </c>
      <c r="B38" s="12" t="s">
        <v>1415</v>
      </c>
      <c r="C38" s="13"/>
      <c r="D38" s="13"/>
      <c r="E38" s="13"/>
      <c r="F38" s="13"/>
      <c r="G38" s="13"/>
      <c r="H38" s="13"/>
      <c r="I38" s="13"/>
      <c r="J38" s="13"/>
      <c r="K38" s="14"/>
      <c r="L38" s="13">
        <v>1528.49</v>
      </c>
      <c r="M38" s="14">
        <v>3000</v>
      </c>
      <c r="N38" s="13">
        <v>3242</v>
      </c>
      <c r="O38" s="14">
        <v>3000</v>
      </c>
      <c r="P38" s="14"/>
      <c r="R38" s="2"/>
      <c r="V38" s="4"/>
    </row>
    <row r="39" spans="1:22" x14ac:dyDescent="0.25">
      <c r="A39" s="881">
        <v>5407</v>
      </c>
      <c r="B39" s="12" t="s">
        <v>1416</v>
      </c>
      <c r="C39" s="13"/>
      <c r="D39" s="13"/>
      <c r="E39" s="13"/>
      <c r="F39" s="13"/>
      <c r="G39" s="13"/>
      <c r="H39" s="13"/>
      <c r="I39" s="13"/>
      <c r="J39" s="13"/>
      <c r="K39" s="14"/>
      <c r="L39" s="13">
        <v>1187.33</v>
      </c>
      <c r="M39" s="14">
        <f t="shared" si="2"/>
        <v>0</v>
      </c>
      <c r="N39" s="13">
        <v>9407.01</v>
      </c>
      <c r="O39" s="14">
        <v>1500</v>
      </c>
      <c r="P39" s="14"/>
      <c r="R39" s="2"/>
      <c r="V39" s="4"/>
    </row>
    <row r="40" spans="1:22" x14ac:dyDescent="0.25">
      <c r="A40" s="881">
        <v>5408</v>
      </c>
      <c r="B40" s="12" t="s">
        <v>1417</v>
      </c>
      <c r="C40" s="13"/>
      <c r="D40" s="13"/>
      <c r="E40" s="13"/>
      <c r="F40" s="13"/>
      <c r="G40" s="13"/>
      <c r="H40" s="13"/>
      <c r="I40" s="13"/>
      <c r="J40" s="13"/>
      <c r="K40" s="14"/>
      <c r="L40" s="13">
        <v>304.92</v>
      </c>
      <c r="M40" s="14">
        <v>1000</v>
      </c>
      <c r="N40" s="13">
        <v>495.23</v>
      </c>
      <c r="O40" s="14">
        <v>1000</v>
      </c>
      <c r="P40" s="14"/>
      <c r="R40" s="2"/>
      <c r="V40" s="4"/>
    </row>
    <row r="41" spans="1:22" x14ac:dyDescent="0.25">
      <c r="A41" s="881">
        <v>5409</v>
      </c>
      <c r="B41" s="12" t="s">
        <v>1484</v>
      </c>
      <c r="C41" s="13"/>
      <c r="D41" s="13"/>
      <c r="E41" s="13"/>
      <c r="F41" s="13"/>
      <c r="G41" s="13"/>
      <c r="H41" s="13"/>
      <c r="I41" s="13"/>
      <c r="J41" s="13"/>
      <c r="K41" s="14"/>
      <c r="L41" s="13">
        <v>10685.36</v>
      </c>
      <c r="M41" s="14"/>
      <c r="N41" s="13">
        <v>2773.02</v>
      </c>
      <c r="O41" s="14">
        <v>10000</v>
      </c>
      <c r="P41" s="14"/>
      <c r="R41" s="2"/>
      <c r="V41" s="4"/>
    </row>
    <row r="42" spans="1:22" x14ac:dyDescent="0.25">
      <c r="A42" s="881">
        <v>5410</v>
      </c>
      <c r="B42" s="12" t="s">
        <v>1012</v>
      </c>
      <c r="C42" s="13">
        <v>21656.47</v>
      </c>
      <c r="D42" s="13">
        <v>25981.439999999999</v>
      </c>
      <c r="E42" s="13">
        <v>46877.97</v>
      </c>
      <c r="F42" s="13">
        <v>12200.02</v>
      </c>
      <c r="G42" s="13">
        <v>8605.7999999999993</v>
      </c>
      <c r="H42" s="13">
        <v>19472.38</v>
      </c>
      <c r="I42" s="13">
        <v>31174.57</v>
      </c>
      <c r="J42" s="13">
        <v>57417.25</v>
      </c>
      <c r="K42" s="14">
        <v>30000</v>
      </c>
      <c r="L42" s="13">
        <v>26884.77</v>
      </c>
      <c r="M42" s="14">
        <v>30000</v>
      </c>
      <c r="N42" s="13">
        <v>27414.23</v>
      </c>
      <c r="O42" s="14">
        <v>30000</v>
      </c>
      <c r="P42" s="14"/>
      <c r="R42" s="2"/>
      <c r="V42" s="4"/>
    </row>
    <row r="43" spans="1:22" x14ac:dyDescent="0.25">
      <c r="A43" s="881">
        <v>5411</v>
      </c>
      <c r="B43" s="12" t="s">
        <v>1418</v>
      </c>
      <c r="C43" s="13"/>
      <c r="D43" s="13"/>
      <c r="E43" s="13"/>
      <c r="F43" s="13"/>
      <c r="G43" s="13"/>
      <c r="H43" s="13"/>
      <c r="I43" s="13"/>
      <c r="J43" s="13"/>
      <c r="K43" s="14">
        <v>10000</v>
      </c>
      <c r="L43" s="13">
        <v>30782.02</v>
      </c>
      <c r="M43" s="14">
        <v>10000</v>
      </c>
      <c r="N43" s="13">
        <v>6291.87</v>
      </c>
      <c r="O43" s="14">
        <v>10000</v>
      </c>
      <c r="P43" s="14"/>
      <c r="R43" s="2"/>
      <c r="V43" s="4"/>
    </row>
    <row r="44" spans="1:22" x14ac:dyDescent="0.25">
      <c r="A44" s="881">
        <v>5415</v>
      </c>
      <c r="B44" s="12" t="s">
        <v>207</v>
      </c>
      <c r="C44" s="13"/>
      <c r="D44" s="13"/>
      <c r="E44" s="13"/>
      <c r="F44" s="13"/>
      <c r="G44" s="13"/>
      <c r="H44" s="13"/>
      <c r="I44" s="13"/>
      <c r="J44" s="13"/>
      <c r="K44" s="14"/>
      <c r="L44" s="13">
        <v>2565.2399999999998</v>
      </c>
      <c r="M44" s="14">
        <f t="shared" si="2"/>
        <v>0</v>
      </c>
      <c r="N44" s="13">
        <v>1965.51</v>
      </c>
      <c r="O44" s="14">
        <v>4000</v>
      </c>
      <c r="P44" s="14"/>
      <c r="R44" s="2"/>
      <c r="V44" s="4"/>
    </row>
    <row r="45" spans="1:22" x14ac:dyDescent="0.25">
      <c r="A45" s="881">
        <v>5418</v>
      </c>
      <c r="B45" s="12" t="s">
        <v>1419</v>
      </c>
      <c r="C45" s="13"/>
      <c r="D45" s="13"/>
      <c r="E45" s="13"/>
      <c r="F45" s="13"/>
      <c r="G45" s="13"/>
      <c r="H45" s="13"/>
      <c r="I45" s="13"/>
      <c r="J45" s="13"/>
      <c r="K45" s="14"/>
      <c r="L45" s="13">
        <v>10413.18</v>
      </c>
      <c r="M45" s="14">
        <f t="shared" si="2"/>
        <v>0</v>
      </c>
      <c r="N45" s="13">
        <v>2216.87</v>
      </c>
      <c r="O45" s="14">
        <v>20000</v>
      </c>
      <c r="P45" s="14"/>
      <c r="R45" s="2"/>
      <c r="V45" s="4"/>
    </row>
    <row r="46" spans="1:22" x14ac:dyDescent="0.25">
      <c r="A46" s="881">
        <v>5430</v>
      </c>
      <c r="B46" s="12" t="s">
        <v>1013</v>
      </c>
      <c r="C46" s="13">
        <v>16058.02</v>
      </c>
      <c r="D46" s="13">
        <v>23466.39</v>
      </c>
      <c r="E46" s="13">
        <v>24610.799999999999</v>
      </c>
      <c r="F46" s="13">
        <v>55782.86</v>
      </c>
      <c r="G46" s="13">
        <v>16029</v>
      </c>
      <c r="H46" s="13">
        <v>705</v>
      </c>
      <c r="I46" s="13">
        <v>2195.85</v>
      </c>
      <c r="J46" s="13">
        <v>16468.03</v>
      </c>
      <c r="K46" s="14">
        <v>20000</v>
      </c>
      <c r="L46" s="13">
        <v>15671.5</v>
      </c>
      <c r="M46" s="14">
        <v>20000</v>
      </c>
      <c r="N46" s="13">
        <v>6635</v>
      </c>
      <c r="O46" s="14">
        <v>20000</v>
      </c>
      <c r="P46" s="14"/>
      <c r="R46" s="2"/>
      <c r="V46" s="4"/>
    </row>
    <row r="47" spans="1:22" x14ac:dyDescent="0.25">
      <c r="A47" s="881">
        <v>5440</v>
      </c>
      <c r="B47" s="12" t="s">
        <v>1420</v>
      </c>
      <c r="C47" s="13">
        <v>46269.23</v>
      </c>
      <c r="D47" s="13">
        <v>31458.29</v>
      </c>
      <c r="E47" s="13">
        <v>19023.48</v>
      </c>
      <c r="F47" s="13">
        <v>30718.17</v>
      </c>
      <c r="G47" s="13">
        <v>67408.289999999994</v>
      </c>
      <c r="H47" s="13">
        <v>26522.48</v>
      </c>
      <c r="I47" s="13">
        <f>140+218+130.08+47257.64</f>
        <v>47745.72</v>
      </c>
      <c r="J47" s="13">
        <v>31422.400000000001</v>
      </c>
      <c r="K47" s="14">
        <v>35000</v>
      </c>
      <c r="L47" s="13">
        <v>7344.51</v>
      </c>
      <c r="M47" s="14">
        <v>29000</v>
      </c>
      <c r="N47" s="13">
        <v>13904.34</v>
      </c>
      <c r="O47" s="14">
        <v>19000</v>
      </c>
      <c r="P47" s="14"/>
      <c r="R47" s="2"/>
      <c r="V47" s="4"/>
    </row>
    <row r="48" spans="1:22" x14ac:dyDescent="0.25">
      <c r="A48" s="881">
        <v>5446</v>
      </c>
      <c r="B48" s="12" t="s">
        <v>1421</v>
      </c>
      <c r="C48" s="13"/>
      <c r="D48" s="13"/>
      <c r="E48" s="13"/>
      <c r="F48" s="13"/>
      <c r="G48" s="13"/>
      <c r="H48" s="13"/>
      <c r="I48" s="13"/>
      <c r="J48" s="13"/>
      <c r="K48" s="14"/>
      <c r="L48" s="13">
        <v>8951.2199999999993</v>
      </c>
      <c r="M48" s="14">
        <v>6000</v>
      </c>
      <c r="N48" s="13">
        <v>16655.57</v>
      </c>
      <c r="O48" s="14">
        <v>12000</v>
      </c>
      <c r="P48" s="14"/>
      <c r="R48" s="2"/>
      <c r="V48" s="4"/>
    </row>
    <row r="49" spans="1:22" x14ac:dyDescent="0.25">
      <c r="A49" s="881">
        <v>5470</v>
      </c>
      <c r="B49" s="12" t="s">
        <v>1292</v>
      </c>
      <c r="C49" s="13"/>
      <c r="D49" s="13"/>
      <c r="E49" s="13"/>
      <c r="F49" s="13"/>
      <c r="G49" s="13"/>
      <c r="H49" s="13"/>
      <c r="I49" s="13">
        <v>29042</v>
      </c>
      <c r="J49" s="13">
        <v>52923.28</v>
      </c>
      <c r="K49" s="14">
        <v>60000</v>
      </c>
      <c r="L49" s="13">
        <v>42409.71</v>
      </c>
      <c r="M49" s="14">
        <v>60000</v>
      </c>
      <c r="N49" s="13">
        <v>15251.8</v>
      </c>
      <c r="O49" s="14">
        <v>30000</v>
      </c>
      <c r="P49" s="14"/>
      <c r="R49" s="2"/>
      <c r="V49" s="4"/>
    </row>
    <row r="50" spans="1:22" x14ac:dyDescent="0.25">
      <c r="A50" s="881">
        <v>5480</v>
      </c>
      <c r="B50" s="12" t="s">
        <v>1422</v>
      </c>
      <c r="C50" s="13">
        <v>11760.01</v>
      </c>
      <c r="D50" s="13">
        <v>11814.95</v>
      </c>
      <c r="E50" s="13">
        <v>9174.5300000000007</v>
      </c>
      <c r="F50" s="13">
        <v>8255.25</v>
      </c>
      <c r="G50" s="13">
        <v>2520.9499999999998</v>
      </c>
      <c r="H50" s="13">
        <v>3482.22</v>
      </c>
      <c r="I50" s="13">
        <v>2718.38</v>
      </c>
      <c r="J50" s="13">
        <v>4500.5600000000004</v>
      </c>
      <c r="K50" s="14">
        <v>6000</v>
      </c>
      <c r="L50" s="13">
        <v>4664.33</v>
      </c>
      <c r="M50" s="14">
        <v>6000</v>
      </c>
      <c r="N50" s="13">
        <v>1091.3499999999999</v>
      </c>
      <c r="O50" s="14">
        <v>6000</v>
      </c>
      <c r="P50" s="14"/>
      <c r="R50" s="2"/>
      <c r="V50" s="4"/>
    </row>
    <row r="51" spans="1:22" x14ac:dyDescent="0.25">
      <c r="A51" s="881">
        <v>5582</v>
      </c>
      <c r="B51" s="12" t="s">
        <v>173</v>
      </c>
      <c r="C51" s="13"/>
      <c r="D51" s="13"/>
      <c r="E51" s="143">
        <v>2212.6999999999998</v>
      </c>
      <c r="F51" s="13">
        <v>1514.61</v>
      </c>
      <c r="G51" s="13">
        <v>379.24</v>
      </c>
      <c r="H51" s="13">
        <v>1023.51</v>
      </c>
      <c r="I51" s="13">
        <v>220.23</v>
      </c>
      <c r="J51" s="13">
        <v>952.64</v>
      </c>
      <c r="K51" s="14">
        <v>4000</v>
      </c>
      <c r="L51" s="13">
        <v>3322.24</v>
      </c>
      <c r="M51" s="14">
        <v>4200</v>
      </c>
      <c r="N51" s="13">
        <v>1298.57</v>
      </c>
      <c r="O51" s="14">
        <v>4200</v>
      </c>
      <c r="P51" s="14"/>
      <c r="R51" s="2"/>
      <c r="V51" s="4"/>
    </row>
    <row r="52" spans="1:22" x14ac:dyDescent="0.25">
      <c r="A52" s="881">
        <v>5740</v>
      </c>
      <c r="B52" s="12" t="s">
        <v>998</v>
      </c>
      <c r="C52" s="13">
        <v>6951.15</v>
      </c>
      <c r="D52" s="13">
        <v>6305.91</v>
      </c>
      <c r="E52" s="13">
        <v>7591.82</v>
      </c>
      <c r="F52" s="13">
        <v>7971.28</v>
      </c>
      <c r="G52" s="13">
        <v>10517.6</v>
      </c>
      <c r="H52" s="13">
        <v>10436</v>
      </c>
      <c r="I52" s="13">
        <v>17776</v>
      </c>
      <c r="J52" s="13">
        <v>18246.73</v>
      </c>
      <c r="K52" s="14">
        <v>20000</v>
      </c>
      <c r="L52" s="13">
        <v>21834</v>
      </c>
      <c r="M52" s="122">
        <v>25000</v>
      </c>
      <c r="N52" s="13">
        <v>24037.65</v>
      </c>
      <c r="O52" s="122">
        <v>25000</v>
      </c>
      <c r="P52" s="14"/>
      <c r="R52" s="2"/>
      <c r="V52" s="4"/>
    </row>
    <row r="53" spans="1:22" x14ac:dyDescent="0.25">
      <c r="A53" s="881">
        <v>5790</v>
      </c>
      <c r="B53" s="12" t="s">
        <v>999</v>
      </c>
      <c r="C53" s="13">
        <v>38596</v>
      </c>
      <c r="D53" s="13">
        <v>39392</v>
      </c>
      <c r="E53" s="13">
        <v>41414</v>
      </c>
      <c r="F53" s="13">
        <v>42591</v>
      </c>
      <c r="G53" s="13">
        <v>43023</v>
      </c>
      <c r="H53" s="13">
        <v>46615</v>
      </c>
      <c r="I53" s="144">
        <v>48296</v>
      </c>
      <c r="J53" s="144">
        <v>48712</v>
      </c>
      <c r="K53" s="122">
        <v>51506</v>
      </c>
      <c r="L53" s="144">
        <v>51506</v>
      </c>
      <c r="M53" s="122">
        <v>54087</v>
      </c>
      <c r="N53" s="13">
        <v>54087</v>
      </c>
      <c r="O53" s="122">
        <f>+Overhead!D12</f>
        <v>49590</v>
      </c>
      <c r="P53" s="14"/>
      <c r="R53" s="2"/>
      <c r="V53" s="4"/>
    </row>
    <row r="54" spans="1:22" x14ac:dyDescent="0.25">
      <c r="A54" s="881">
        <v>5791</v>
      </c>
      <c r="B54" s="12" t="s">
        <v>1000</v>
      </c>
      <c r="C54" s="13">
        <v>3000</v>
      </c>
      <c r="D54" s="13">
        <v>4000</v>
      </c>
      <c r="E54" s="13">
        <v>5000</v>
      </c>
      <c r="F54" s="13">
        <v>5500</v>
      </c>
      <c r="G54" s="13">
        <v>5500</v>
      </c>
      <c r="H54" s="13">
        <v>5500</v>
      </c>
      <c r="I54" s="13">
        <v>5500</v>
      </c>
      <c r="J54" s="13">
        <v>11000</v>
      </c>
      <c r="K54" s="14">
        <v>5500</v>
      </c>
      <c r="L54" s="13"/>
      <c r="M54" s="827">
        <v>5500</v>
      </c>
      <c r="N54" s="13">
        <v>5500</v>
      </c>
      <c r="O54" s="827">
        <v>5500</v>
      </c>
      <c r="P54" s="14"/>
      <c r="R54" s="2"/>
      <c r="V54" s="4"/>
    </row>
    <row r="55" spans="1:22" x14ac:dyDescent="0.25">
      <c r="A55" s="881">
        <v>5795</v>
      </c>
      <c r="B55" s="12" t="s">
        <v>545</v>
      </c>
      <c r="C55" s="13">
        <v>179806</v>
      </c>
      <c r="D55" s="13">
        <v>184545</v>
      </c>
      <c r="E55" s="13">
        <v>189158.6</v>
      </c>
      <c r="F55" s="13">
        <v>193887.56</v>
      </c>
      <c r="G55" s="13">
        <v>198743.77</v>
      </c>
      <c r="H55" s="13">
        <v>203703.14</v>
      </c>
      <c r="I55" s="13">
        <f>52198.93+52198.93+52198.93+104069.34-I56</f>
        <v>208795.72</v>
      </c>
      <c r="J55" s="13">
        <v>214015</v>
      </c>
      <c r="K55" s="14">
        <v>220000</v>
      </c>
      <c r="L55" s="13">
        <v>219365.4</v>
      </c>
      <c r="M55" s="14">
        <v>220000</v>
      </c>
      <c r="N55" s="13">
        <v>112424.5</v>
      </c>
      <c r="O55" s="14">
        <v>220000</v>
      </c>
      <c r="P55" s="14"/>
      <c r="R55" s="2"/>
      <c r="V55" s="4"/>
    </row>
    <row r="56" spans="1:22" x14ac:dyDescent="0.25">
      <c r="A56" s="911">
        <v>5796</v>
      </c>
      <c r="B56" s="63" t="s">
        <v>1362</v>
      </c>
      <c r="C56" s="13"/>
      <c r="D56" s="13"/>
      <c r="E56" s="13"/>
      <c r="F56" s="13"/>
      <c r="G56" s="13"/>
      <c r="H56" s="13"/>
      <c r="I56" s="13">
        <v>51870.41</v>
      </c>
      <c r="J56" s="13"/>
      <c r="K56" s="14">
        <v>55000</v>
      </c>
      <c r="L56" s="13"/>
      <c r="M56" s="14">
        <v>55000</v>
      </c>
      <c r="N56" s="13"/>
      <c r="O56" s="14">
        <v>55000</v>
      </c>
      <c r="P56" s="14"/>
      <c r="R56" s="2"/>
      <c r="V56" s="4"/>
    </row>
    <row r="57" spans="1:22" hidden="1" x14ac:dyDescent="0.25">
      <c r="A57" s="911"/>
      <c r="B57" s="63" t="s">
        <v>1007</v>
      </c>
      <c r="C57" s="13"/>
      <c r="D57" s="13">
        <v>57682.44</v>
      </c>
      <c r="E57" s="13"/>
      <c r="F57" s="13"/>
      <c r="G57" s="13"/>
      <c r="H57" s="13"/>
      <c r="I57" s="13"/>
      <c r="J57" s="13"/>
      <c r="K57" s="14"/>
      <c r="L57" s="13"/>
      <c r="M57" s="14"/>
      <c r="N57" s="13"/>
      <c r="O57" s="14"/>
      <c r="P57" s="14"/>
      <c r="R57" s="2"/>
      <c r="V57" s="4"/>
    </row>
    <row r="58" spans="1:22" ht="13.8" thickBot="1" x14ac:dyDescent="0.3">
      <c r="A58" s="911">
        <v>5780</v>
      </c>
      <c r="B58" s="236" t="s">
        <v>1626</v>
      </c>
      <c r="C58" s="144"/>
      <c r="D58" s="144"/>
      <c r="E58" s="144"/>
      <c r="F58" s="144"/>
      <c r="G58" s="144"/>
      <c r="H58" s="144"/>
      <c r="I58" s="318"/>
      <c r="J58" s="318"/>
      <c r="K58" s="123"/>
      <c r="L58" s="318"/>
      <c r="M58" s="123">
        <v>68172</v>
      </c>
      <c r="N58" s="318"/>
      <c r="O58" s="123">
        <v>68172</v>
      </c>
      <c r="P58" s="123"/>
      <c r="Q58" s="335"/>
      <c r="R58" s="2"/>
      <c r="V58" s="4"/>
    </row>
    <row r="59" spans="1:22" x14ac:dyDescent="0.25">
      <c r="A59" s="912"/>
      <c r="B59" s="829" t="s">
        <v>449</v>
      </c>
      <c r="C59" s="30">
        <f t="shared" ref="C59:H59" si="3">SUM(C16:C57)</f>
        <v>886974.85000000009</v>
      </c>
      <c r="D59" s="30">
        <f t="shared" si="3"/>
        <v>958923.7899999998</v>
      </c>
      <c r="E59" s="30">
        <f t="shared" si="3"/>
        <v>957063.42999999993</v>
      </c>
      <c r="F59" s="30">
        <f t="shared" si="3"/>
        <v>957874.57000000007</v>
      </c>
      <c r="G59" s="30">
        <f t="shared" si="3"/>
        <v>1006447.3</v>
      </c>
      <c r="H59" s="30">
        <f t="shared" si="3"/>
        <v>1042208.1100000001</v>
      </c>
      <c r="I59" s="30">
        <f>SUM(I16:I58)</f>
        <v>1112125.8699999999</v>
      </c>
      <c r="J59" s="30">
        <f>SUM(J16:J58)</f>
        <v>1126104.8500000001</v>
      </c>
      <c r="K59" s="995">
        <f>SUM(K16:K58)</f>
        <v>1124506</v>
      </c>
      <c r="L59" s="30">
        <f>SUM(L16:L57)</f>
        <v>1054682.45</v>
      </c>
      <c r="M59" s="995">
        <f>SUM(M16:M58)</f>
        <v>1201959</v>
      </c>
      <c r="N59" s="30">
        <f>SUM(N16:N58)</f>
        <v>580706.5</v>
      </c>
      <c r="O59" s="995">
        <f>SUM(O16:O58)</f>
        <v>1357662</v>
      </c>
      <c r="P59" s="31"/>
      <c r="R59" s="2"/>
      <c r="V59" s="4"/>
    </row>
    <row r="60" spans="1:22" x14ac:dyDescent="0.25">
      <c r="A60" s="911"/>
      <c r="B60" s="64"/>
      <c r="C60" s="13"/>
      <c r="D60" s="13"/>
      <c r="E60" s="13"/>
      <c r="F60" s="13"/>
      <c r="G60" s="13"/>
      <c r="H60" s="13"/>
      <c r="I60" s="13"/>
      <c r="J60" s="13"/>
      <c r="K60" s="14"/>
      <c r="L60" s="13"/>
      <c r="M60" s="14"/>
      <c r="N60" s="13"/>
      <c r="O60" s="14"/>
      <c r="P60" s="14"/>
      <c r="R60" s="2"/>
      <c r="V60" s="4"/>
    </row>
    <row r="61" spans="1:22" x14ac:dyDescent="0.25">
      <c r="A61" s="911">
        <v>5800</v>
      </c>
      <c r="B61" s="63" t="s">
        <v>1481</v>
      </c>
      <c r="C61" s="13"/>
      <c r="D61" s="13"/>
      <c r="E61" s="13"/>
      <c r="F61" s="13"/>
      <c r="G61" s="13"/>
      <c r="H61" s="13"/>
      <c r="I61" s="13"/>
      <c r="J61" s="13"/>
      <c r="K61" s="14"/>
      <c r="L61" s="13"/>
      <c r="M61" s="14">
        <v>58500</v>
      </c>
      <c r="N61" s="13">
        <v>12094.13</v>
      </c>
      <c r="O61" s="14">
        <v>58500</v>
      </c>
      <c r="P61" s="14"/>
      <c r="R61" s="2"/>
      <c r="V61" s="4"/>
    </row>
    <row r="62" spans="1:22" x14ac:dyDescent="0.25">
      <c r="A62" s="913"/>
      <c r="B62" s="17" t="s">
        <v>136</v>
      </c>
      <c r="C62" s="37"/>
      <c r="D62" s="37"/>
      <c r="E62" s="37"/>
      <c r="F62" s="37"/>
      <c r="G62" s="37"/>
      <c r="H62" s="37"/>
      <c r="I62" s="37"/>
      <c r="J62" s="37"/>
      <c r="K62" s="38"/>
      <c r="L62" s="37"/>
      <c r="M62" s="38"/>
      <c r="N62" s="37"/>
      <c r="O62" s="38"/>
      <c r="P62" s="38"/>
      <c r="R62" s="2"/>
      <c r="V62" s="4"/>
    </row>
    <row r="63" spans="1:22" ht="13.8" thickBot="1" x14ac:dyDescent="0.3">
      <c r="A63" s="881"/>
      <c r="B63" s="12"/>
      <c r="C63" s="37"/>
      <c r="D63" s="37"/>
      <c r="E63" s="37"/>
      <c r="F63" s="37"/>
      <c r="G63" s="37"/>
      <c r="H63" s="37"/>
      <c r="I63" s="15"/>
      <c r="J63" s="15"/>
      <c r="K63" s="16"/>
      <c r="L63" s="15"/>
      <c r="M63" s="16"/>
      <c r="N63" s="15"/>
      <c r="O63" s="16"/>
      <c r="P63" s="16"/>
      <c r="V63" s="4"/>
    </row>
    <row r="64" spans="1:22" ht="13.8" thickBot="1" x14ac:dyDescent="0.3">
      <c r="A64" s="882"/>
      <c r="B64" s="20" t="s">
        <v>331</v>
      </c>
      <c r="C64" s="21">
        <f t="shared" ref="C64:H64" si="4">+C59+C14</f>
        <v>1232852.1600000001</v>
      </c>
      <c r="D64" s="21">
        <f t="shared" si="4"/>
        <v>1332110.5999999999</v>
      </c>
      <c r="E64" s="21">
        <f t="shared" si="4"/>
        <v>1415714.64</v>
      </c>
      <c r="F64" s="21">
        <f t="shared" si="4"/>
        <v>1411128.35</v>
      </c>
      <c r="G64" s="21">
        <f t="shared" si="4"/>
        <v>1411401.52</v>
      </c>
      <c r="H64" s="21">
        <f t="shared" si="4"/>
        <v>1459773.7000000002</v>
      </c>
      <c r="I64" s="830">
        <f t="shared" ref="I64:N64" si="5">+I59+I14+I61</f>
        <v>1523345.5699999998</v>
      </c>
      <c r="J64" s="830">
        <f t="shared" si="5"/>
        <v>1546577.2100000002</v>
      </c>
      <c r="K64" s="831">
        <f t="shared" si="5"/>
        <v>1585763</v>
      </c>
      <c r="L64" s="830">
        <f t="shared" si="5"/>
        <v>1480090.73</v>
      </c>
      <c r="M64" s="831">
        <f t="shared" si="5"/>
        <v>1751791</v>
      </c>
      <c r="N64" s="830">
        <f t="shared" si="5"/>
        <v>812585.35</v>
      </c>
      <c r="O64" s="831">
        <f>+O59+O14+O61</f>
        <v>1957155</v>
      </c>
      <c r="P64" s="831">
        <f>+O64</f>
        <v>1957155</v>
      </c>
      <c r="V64" s="4"/>
    </row>
    <row r="65" spans="1:23" ht="16.2" thickTop="1" x14ac:dyDescent="0.3">
      <c r="B65" s="95"/>
      <c r="C65" s="23"/>
      <c r="D65" s="23"/>
      <c r="E65" s="23"/>
      <c r="F65" s="23"/>
      <c r="G65" s="23"/>
      <c r="H65" s="23"/>
      <c r="I65" s="23"/>
      <c r="J65" s="23"/>
      <c r="K65" s="23"/>
      <c r="L65" s="23"/>
      <c r="M65" s="23"/>
      <c r="N65" s="4"/>
      <c r="O65" s="23">
        <f>+O64-M64</f>
        <v>205364</v>
      </c>
      <c r="P65" s="841">
        <f>+N81/O64</f>
        <v>2.2841359013465977E-2</v>
      </c>
      <c r="Q65" s="23"/>
      <c r="R65" s="4"/>
      <c r="S65" s="208"/>
    </row>
    <row r="66" spans="1:23" ht="15.6" x14ac:dyDescent="0.3">
      <c r="A66" s="181">
        <v>44595</v>
      </c>
      <c r="B66" s="95" t="s">
        <v>1888</v>
      </c>
      <c r="C66" s="23"/>
      <c r="D66" s="23"/>
      <c r="E66" s="23"/>
      <c r="F66" s="23"/>
      <c r="G66" s="23"/>
      <c r="H66" s="23"/>
      <c r="I66" s="23"/>
      <c r="J66" s="23"/>
      <c r="K66" s="23"/>
      <c r="L66" s="23"/>
      <c r="M66" s="23"/>
      <c r="N66" s="4"/>
      <c r="O66" s="23"/>
      <c r="P66" s="841"/>
      <c r="Q66" s="23"/>
      <c r="R66" s="4"/>
      <c r="S66" s="208"/>
    </row>
    <row r="67" spans="1:23" ht="15.6" x14ac:dyDescent="0.3">
      <c r="B67" s="95"/>
      <c r="C67" s="23"/>
      <c r="D67" s="23"/>
      <c r="E67" s="23"/>
      <c r="F67" s="23"/>
      <c r="G67" s="23"/>
      <c r="H67" s="23"/>
      <c r="I67" s="23"/>
      <c r="J67" s="23"/>
      <c r="K67" s="23"/>
      <c r="L67" s="23"/>
      <c r="M67" s="23"/>
      <c r="N67" s="4"/>
      <c r="O67" s="23"/>
      <c r="P67" s="841"/>
      <c r="Q67" s="23"/>
      <c r="R67" s="4"/>
      <c r="S67" s="208"/>
    </row>
    <row r="68" spans="1:23" x14ac:dyDescent="0.25">
      <c r="A68" s="876" t="s">
        <v>527</v>
      </c>
      <c r="B68" s="4"/>
      <c r="O68" s="369"/>
    </row>
    <row r="69" spans="1:23" x14ac:dyDescent="0.25">
      <c r="A69" s="876"/>
      <c r="B69" s="4"/>
      <c r="O69" s="1098"/>
      <c r="P69" s="369"/>
    </row>
    <row r="70" spans="1:23" ht="13.8" thickBot="1" x14ac:dyDescent="0.3">
      <c r="A70" s="898"/>
      <c r="B70" s="240" t="s">
        <v>1028</v>
      </c>
      <c r="D70" s="1"/>
      <c r="E70" s="1"/>
      <c r="F70" s="1"/>
      <c r="G70" s="1"/>
      <c r="H70" s="1"/>
      <c r="I70"/>
      <c r="J70"/>
      <c r="K70"/>
      <c r="L70"/>
      <c r="M70"/>
      <c r="O70" s="1097"/>
      <c r="P70"/>
      <c r="Q70" s="760"/>
      <c r="R70" s="148"/>
      <c r="S70" s="26"/>
      <c r="T70" s="148"/>
      <c r="U70" s="148"/>
      <c r="V70" s="148"/>
      <c r="W70" s="26"/>
    </row>
    <row r="71" spans="1:23" ht="13.8" thickTop="1" x14ac:dyDescent="0.25">
      <c r="A71" s="883" t="s">
        <v>891</v>
      </c>
      <c r="B71" s="106"/>
      <c r="K71" s="316" t="s">
        <v>85</v>
      </c>
      <c r="L71" s="156" t="s">
        <v>956</v>
      </c>
      <c r="M71" s="168" t="s">
        <v>577</v>
      </c>
      <c r="N71" s="168" t="s">
        <v>579</v>
      </c>
      <c r="O71" s="240"/>
      <c r="P71"/>
      <c r="Q71" s="26"/>
      <c r="R71" s="94"/>
      <c r="S71" s="26"/>
      <c r="T71" s="26"/>
      <c r="U71" s="26"/>
      <c r="V71" s="26"/>
      <c r="W71" s="26"/>
    </row>
    <row r="72" spans="1:23" ht="13.8" thickBot="1" x14ac:dyDescent="0.3">
      <c r="A72" s="884" t="s">
        <v>892</v>
      </c>
      <c r="B72" s="108" t="s">
        <v>528</v>
      </c>
      <c r="K72" s="343">
        <v>44743</v>
      </c>
      <c r="L72" s="441" t="s">
        <v>576</v>
      </c>
      <c r="M72" s="442" t="s">
        <v>983</v>
      </c>
      <c r="N72" s="443" t="s">
        <v>106</v>
      </c>
      <c r="O72" s="885"/>
      <c r="P72"/>
      <c r="Q72" s="94"/>
      <c r="R72" s="94"/>
      <c r="S72" s="26"/>
      <c r="T72" s="26"/>
      <c r="U72" s="26"/>
      <c r="V72" s="26"/>
      <c r="W72" s="26"/>
    </row>
    <row r="73" spans="1:23" ht="13.8" thickTop="1" x14ac:dyDescent="0.25">
      <c r="A73" s="57"/>
      <c r="B73" s="63" t="s">
        <v>1976</v>
      </c>
      <c r="K73" s="440" t="s">
        <v>1642</v>
      </c>
      <c r="L73" s="144"/>
      <c r="M73" s="122"/>
      <c r="N73" s="326">
        <f>+'NAGE &amp; Non-Union Wages'!H12</f>
        <v>89407</v>
      </c>
      <c r="O73" s="885"/>
      <c r="P73"/>
      <c r="Q73" s="26"/>
      <c r="R73" s="761"/>
      <c r="S73" s="221"/>
      <c r="T73" s="26"/>
      <c r="U73" s="26"/>
      <c r="V73" s="26"/>
      <c r="W73" s="26"/>
    </row>
    <row r="74" spans="1:23" x14ac:dyDescent="0.25">
      <c r="A74" s="57"/>
      <c r="B74" s="63" t="s">
        <v>1977</v>
      </c>
      <c r="K74" s="444" t="s">
        <v>1429</v>
      </c>
      <c r="L74" s="826">
        <f>+'NAGE &amp; Non-Union Wages'!E5</f>
        <v>19.170000000000002</v>
      </c>
      <c r="M74" s="248">
        <v>2088</v>
      </c>
      <c r="N74" s="326">
        <f>ROUND((+M74*L74),2)</f>
        <v>40026.959999999999</v>
      </c>
      <c r="O74" s="885"/>
      <c r="P74"/>
      <c r="Q74" s="26"/>
      <c r="R74" s="762"/>
      <c r="S74" s="221"/>
      <c r="T74" s="83"/>
      <c r="U74" s="26"/>
      <c r="V74" s="26"/>
      <c r="W74" s="26"/>
    </row>
    <row r="75" spans="1:23" x14ac:dyDescent="0.25">
      <c r="A75" s="57"/>
      <c r="B75" s="236" t="s">
        <v>1817</v>
      </c>
      <c r="C75" s="335"/>
      <c r="D75" s="374"/>
      <c r="E75" s="374"/>
      <c r="F75" s="374"/>
      <c r="G75" s="374"/>
      <c r="H75" s="374"/>
      <c r="I75" s="374"/>
      <c r="J75" s="374"/>
      <c r="K75" s="444" t="s">
        <v>1941</v>
      </c>
      <c r="L75" s="826">
        <f>+'NAGE &amp; Non-Union Wages'!E20</f>
        <v>29.44</v>
      </c>
      <c r="M75" s="248">
        <v>2088</v>
      </c>
      <c r="N75" s="326">
        <f>ROUND((+M75*L75),2)</f>
        <v>61470.720000000001</v>
      </c>
      <c r="O75" s="885"/>
      <c r="P75"/>
      <c r="Q75" s="26"/>
      <c r="R75" s="761"/>
      <c r="S75" s="221"/>
      <c r="T75" s="26"/>
      <c r="U75" s="26"/>
      <c r="V75" s="26"/>
      <c r="W75" s="26"/>
    </row>
    <row r="76" spans="1:23" x14ac:dyDescent="0.25">
      <c r="A76" s="949"/>
      <c r="B76" s="63" t="s">
        <v>1978</v>
      </c>
      <c r="K76" s="444" t="s">
        <v>1315</v>
      </c>
      <c r="L76" s="826">
        <f>+'UE Wages'!J9</f>
        <v>27.34</v>
      </c>
      <c r="M76" s="248">
        <v>2088</v>
      </c>
      <c r="N76" s="326">
        <f t="shared" ref="N76:N80" si="6">ROUND((+M76*L76),2)</f>
        <v>57085.919999999998</v>
      </c>
      <c r="O76" s="885"/>
      <c r="P76"/>
      <c r="Q76" s="26"/>
      <c r="R76" s="761"/>
      <c r="S76" s="221"/>
      <c r="T76" s="26"/>
      <c r="U76" s="26"/>
      <c r="V76" s="26"/>
      <c r="W76" s="26"/>
    </row>
    <row r="77" spans="1:23" x14ac:dyDescent="0.25">
      <c r="A77" s="57"/>
      <c r="B77" s="236" t="s">
        <v>1979</v>
      </c>
      <c r="K77" s="444" t="s">
        <v>1428</v>
      </c>
      <c r="L77" s="826">
        <f>+'UE Wages'!K9</f>
        <v>27.89</v>
      </c>
      <c r="M77" s="248">
        <v>2088</v>
      </c>
      <c r="N77" s="326">
        <f t="shared" si="6"/>
        <v>58234.32</v>
      </c>
      <c r="O77" s="885"/>
      <c r="P77"/>
      <c r="Q77" s="148"/>
      <c r="R77" s="761"/>
      <c r="S77" s="221"/>
      <c r="T77" s="26"/>
      <c r="U77" s="26"/>
      <c r="V77" s="26"/>
      <c r="W77" s="26"/>
    </row>
    <row r="78" spans="1:23" x14ac:dyDescent="0.25">
      <c r="A78" s="949"/>
      <c r="B78" s="730" t="s">
        <v>1980</v>
      </c>
      <c r="C78" s="335"/>
      <c r="D78" s="374"/>
      <c r="K78" s="759" t="s">
        <v>1478</v>
      </c>
      <c r="L78" s="826">
        <f>+'UE Wages'!C8</f>
        <v>21.51</v>
      </c>
      <c r="M78" s="248">
        <v>2088</v>
      </c>
      <c r="N78" s="326">
        <f t="shared" si="6"/>
        <v>44912.88</v>
      </c>
      <c r="O78" s="885"/>
      <c r="P78"/>
      <c r="Q78" s="148"/>
      <c r="R78" s="763"/>
      <c r="S78" s="221"/>
      <c r="T78" s="26"/>
      <c r="U78" s="26"/>
      <c r="V78" s="26"/>
      <c r="W78" s="26"/>
    </row>
    <row r="79" spans="1:23" x14ac:dyDescent="0.25">
      <c r="A79" s="950"/>
      <c r="B79" s="730" t="s">
        <v>1981</v>
      </c>
      <c r="C79" s="283"/>
      <c r="D79" s="428"/>
      <c r="E79" s="674"/>
      <c r="F79" s="674"/>
      <c r="G79" s="674"/>
      <c r="K79" s="440" t="s">
        <v>1478</v>
      </c>
      <c r="L79" s="826">
        <f>+'UE Wages'!C8</f>
        <v>21.51</v>
      </c>
      <c r="M79" s="248">
        <v>2088</v>
      </c>
      <c r="N79" s="326">
        <f t="shared" si="6"/>
        <v>44912.88</v>
      </c>
      <c r="O79" s="885"/>
      <c r="P79"/>
      <c r="Q79" s="148"/>
      <c r="R79" s="761"/>
      <c r="S79" s="221"/>
      <c r="T79" s="26"/>
      <c r="U79" s="26"/>
      <c r="V79" s="26"/>
      <c r="W79" s="26"/>
    </row>
    <row r="80" spans="1:23" x14ac:dyDescent="0.25">
      <c r="A80" s="950"/>
      <c r="B80" s="236" t="s">
        <v>1641</v>
      </c>
      <c r="C80" s="283"/>
      <c r="D80" s="428"/>
      <c r="E80" s="674"/>
      <c r="F80" s="674"/>
      <c r="G80" s="674"/>
      <c r="K80" s="440" t="s">
        <v>1479</v>
      </c>
      <c r="L80" s="826">
        <f>+'UE Wages'!F6</f>
        <v>19.75</v>
      </c>
      <c r="M80" s="248">
        <v>2088</v>
      </c>
      <c r="N80" s="326">
        <f t="shared" si="6"/>
        <v>41238</v>
      </c>
      <c r="O80" s="885"/>
      <c r="P80"/>
      <c r="Q80" s="148"/>
      <c r="R80" s="761"/>
      <c r="S80" s="221"/>
      <c r="T80" s="26"/>
      <c r="U80" s="26"/>
      <c r="V80" s="26"/>
      <c r="W80" s="26"/>
    </row>
    <row r="81" spans="1:23" x14ac:dyDescent="0.25">
      <c r="A81" s="950"/>
      <c r="B81" s="236" t="s">
        <v>1766</v>
      </c>
      <c r="C81" s="283"/>
      <c r="D81" s="428"/>
      <c r="E81" s="428"/>
      <c r="F81" s="428"/>
      <c r="G81" s="428"/>
      <c r="H81" s="374"/>
      <c r="K81" s="440" t="s">
        <v>1478</v>
      </c>
      <c r="L81" s="826">
        <f>+'NAGE &amp; Non-Union Wages'!C7</f>
        <v>21.41</v>
      </c>
      <c r="M81" s="248">
        <v>2088</v>
      </c>
      <c r="N81" s="326">
        <f t="shared" ref="N81" si="7">ROUND((+M81*L81),2)</f>
        <v>44704.08</v>
      </c>
      <c r="O81"/>
      <c r="P81"/>
      <c r="Q81" s="148"/>
      <c r="R81" s="761"/>
      <c r="S81" s="221"/>
      <c r="T81" s="26"/>
      <c r="U81" s="26"/>
      <c r="V81" s="26"/>
      <c r="W81" s="26"/>
    </row>
    <row r="82" spans="1:23" x14ac:dyDescent="0.25">
      <c r="A82" s="898"/>
      <c r="B82" s="148" t="s">
        <v>738</v>
      </c>
      <c r="D82" s="1"/>
      <c r="E82" s="1"/>
      <c r="I82" s="335"/>
      <c r="J82" s="335"/>
      <c r="K82" s="120"/>
      <c r="L82" s="120"/>
      <c r="M82" s="120"/>
      <c r="N82" s="120"/>
      <c r="O82"/>
      <c r="P82"/>
      <c r="Q82" s="94"/>
      <c r="R82" s="94"/>
      <c r="S82" s="26"/>
      <c r="T82" s="83"/>
      <c r="U82" s="26"/>
      <c r="V82" s="26"/>
      <c r="W82" s="26"/>
    </row>
    <row r="83" spans="1:23" x14ac:dyDescent="0.25">
      <c r="B83" s="148"/>
      <c r="C83" s="114"/>
      <c r="N83" s="1085">
        <f>SUM(N73:N82)</f>
        <v>481992.76</v>
      </c>
      <c r="Q83" s="134"/>
      <c r="R83" s="94"/>
      <c r="S83" s="26"/>
      <c r="T83" s="764"/>
      <c r="U83" s="148"/>
      <c r="V83" s="148"/>
      <c r="W83" s="26"/>
    </row>
    <row r="84" spans="1:23" x14ac:dyDescent="0.25">
      <c r="B84" s="148"/>
      <c r="C84" s="114"/>
      <c r="Q84" s="24"/>
      <c r="R84" s="94"/>
      <c r="S84" s="221"/>
      <c r="T84" s="148"/>
      <c r="U84" s="148"/>
      <c r="V84" s="148"/>
      <c r="W84" s="26"/>
    </row>
    <row r="85" spans="1:23" ht="13.8" thickBot="1" x14ac:dyDescent="0.3">
      <c r="A85" s="876" t="s">
        <v>1155</v>
      </c>
      <c r="B85" s="148"/>
      <c r="C85" s="114"/>
      <c r="Q85" s="134"/>
      <c r="R85" s="94"/>
      <c r="S85" s="26"/>
      <c r="T85" s="148"/>
      <c r="U85" s="148"/>
      <c r="V85" s="294"/>
      <c r="W85" s="26"/>
    </row>
    <row r="86" spans="1:23" ht="13.8" thickTop="1" x14ac:dyDescent="0.25">
      <c r="A86" s="893"/>
      <c r="B86" s="452"/>
      <c r="C86" s="453" t="s">
        <v>127</v>
      </c>
      <c r="D86" s="454" t="s">
        <v>127</v>
      </c>
      <c r="E86" s="454" t="s">
        <v>127</v>
      </c>
      <c r="K86" s="455" t="s">
        <v>547</v>
      </c>
      <c r="L86" s="456" t="s">
        <v>9</v>
      </c>
      <c r="M86" s="457" t="s">
        <v>1073</v>
      </c>
      <c r="N86" s="456" t="s">
        <v>686</v>
      </c>
      <c r="O86" s="458"/>
      <c r="P86" s="457"/>
    </row>
    <row r="87" spans="1:23" ht="13.8" thickBot="1" x14ac:dyDescent="0.3">
      <c r="A87" s="894" t="s">
        <v>128</v>
      </c>
      <c r="B87" s="459"/>
      <c r="C87" s="508" t="s">
        <v>347</v>
      </c>
      <c r="D87" s="508" t="s">
        <v>722</v>
      </c>
      <c r="E87" s="462" t="s">
        <v>737</v>
      </c>
      <c r="K87" s="462" t="s">
        <v>909</v>
      </c>
      <c r="L87" s="462" t="s">
        <v>910</v>
      </c>
      <c r="M87" s="521" t="s">
        <v>1075</v>
      </c>
      <c r="N87" s="522" t="s">
        <v>1075</v>
      </c>
      <c r="O87" s="523" t="s">
        <v>1074</v>
      </c>
      <c r="P87" s="520"/>
    </row>
    <row r="88" spans="1:23" ht="13.8" thickTop="1" x14ac:dyDescent="0.25">
      <c r="A88" s="906"/>
      <c r="B88" s="487"/>
      <c r="C88" s="488"/>
      <c r="D88" s="489"/>
      <c r="E88" s="489"/>
      <c r="K88" s="524"/>
      <c r="L88" s="525"/>
      <c r="M88" s="524"/>
      <c r="N88" s="526"/>
      <c r="O88" s="527"/>
      <c r="P88" s="528"/>
    </row>
    <row r="89" spans="1:23" x14ac:dyDescent="0.25">
      <c r="A89" s="907">
        <v>5110</v>
      </c>
      <c r="B89" s="505" t="s">
        <v>994</v>
      </c>
      <c r="C89" s="476">
        <v>296676.09999999998</v>
      </c>
      <c r="D89" s="476">
        <v>317703.17</v>
      </c>
      <c r="E89" s="476">
        <f>9155+388922.89</f>
        <v>398077.89</v>
      </c>
      <c r="K89" s="475">
        <f>+M9</f>
        <v>432332</v>
      </c>
      <c r="L89" s="1047">
        <f>+O9</f>
        <v>481993</v>
      </c>
      <c r="M89" s="475">
        <f t="shared" ref="M89" si="8">+L89-K89</f>
        <v>49661</v>
      </c>
      <c r="N89" s="477">
        <f t="shared" ref="N89:N93" si="9">IF(K89+L89&lt;&gt;0,IF(K89&lt;&gt;0,IF(M89&lt;&gt;0,ROUND((+M89/K89),4),""),1),"")</f>
        <v>0.1149</v>
      </c>
      <c r="O89" s="588" t="s">
        <v>1767</v>
      </c>
      <c r="P89" s="471"/>
    </row>
    <row r="90" spans="1:23" x14ac:dyDescent="0.25">
      <c r="A90" s="907">
        <v>5132</v>
      </c>
      <c r="B90" s="472" t="s">
        <v>981</v>
      </c>
      <c r="C90" s="476">
        <v>40622.949999999997</v>
      </c>
      <c r="D90" s="476">
        <v>47734.400000000001</v>
      </c>
      <c r="E90" s="476">
        <v>53816.19</v>
      </c>
      <c r="K90" s="475">
        <f>+M10</f>
        <v>45000</v>
      </c>
      <c r="L90" s="497">
        <f>+O10</f>
        <v>45000</v>
      </c>
      <c r="M90" s="475">
        <f t="shared" ref="M90:M94" si="10">+L90-K90</f>
        <v>0</v>
      </c>
      <c r="N90" s="477" t="str">
        <f t="shared" si="9"/>
        <v/>
      </c>
      <c r="O90" s="588"/>
      <c r="P90" s="471"/>
    </row>
    <row r="91" spans="1:23" x14ac:dyDescent="0.25">
      <c r="A91" s="907">
        <v>5140</v>
      </c>
      <c r="B91" s="472" t="s">
        <v>995</v>
      </c>
      <c r="C91" s="529">
        <v>8578.26</v>
      </c>
      <c r="D91" s="529">
        <v>7749.24</v>
      </c>
      <c r="E91" s="530">
        <f>-2212.7+8969.83</f>
        <v>6757.13</v>
      </c>
      <c r="K91" s="475">
        <f>+M11</f>
        <v>14000</v>
      </c>
      <c r="L91" s="497">
        <f>+O11</f>
        <v>14000</v>
      </c>
      <c r="M91" s="475">
        <f t="shared" si="10"/>
        <v>0</v>
      </c>
      <c r="N91" s="477" t="str">
        <f t="shared" si="9"/>
        <v/>
      </c>
      <c r="O91" s="585"/>
      <c r="P91" s="531"/>
    </row>
    <row r="92" spans="1:23" x14ac:dyDescent="0.25">
      <c r="A92" s="907">
        <v>5193</v>
      </c>
      <c r="B92" s="472" t="s">
        <v>699</v>
      </c>
      <c r="C92" s="529"/>
      <c r="D92" s="529"/>
      <c r="E92" s="529"/>
      <c r="K92" s="475">
        <f>+M12</f>
        <v>0</v>
      </c>
      <c r="L92" s="497">
        <f>+O12</f>
        <v>0</v>
      </c>
      <c r="M92" s="475">
        <f t="shared" si="10"/>
        <v>0</v>
      </c>
      <c r="N92" s="477" t="str">
        <f t="shared" si="9"/>
        <v/>
      </c>
      <c r="O92" s="585"/>
      <c r="P92" s="531"/>
    </row>
    <row r="93" spans="1:23" ht="13.8" thickBot="1" x14ac:dyDescent="0.3">
      <c r="A93" s="907">
        <v>5194</v>
      </c>
      <c r="B93" s="472" t="s">
        <v>226</v>
      </c>
      <c r="C93" s="532"/>
      <c r="D93" s="532"/>
      <c r="E93" s="532"/>
      <c r="K93" s="475">
        <f>+M13</f>
        <v>0</v>
      </c>
      <c r="L93" s="497">
        <f>+O13</f>
        <v>0</v>
      </c>
      <c r="M93" s="475">
        <f t="shared" si="10"/>
        <v>0</v>
      </c>
      <c r="N93" s="477" t="str">
        <f t="shared" si="9"/>
        <v/>
      </c>
      <c r="O93" s="585"/>
      <c r="P93" s="531"/>
    </row>
    <row r="94" spans="1:23" x14ac:dyDescent="0.25">
      <c r="A94" s="907">
        <f t="shared" ref="A94:B111" si="11">+A16</f>
        <v>5211</v>
      </c>
      <c r="B94" s="907" t="str">
        <f t="shared" si="11"/>
        <v>Electricity TP</v>
      </c>
      <c r="C94" s="828"/>
      <c r="D94" s="828"/>
      <c r="E94" s="828"/>
      <c r="K94" s="475">
        <f t="shared" ref="K94:K108" si="12">+M16</f>
        <v>140000</v>
      </c>
      <c r="L94" s="497">
        <f t="shared" ref="L94:L111" si="13">+O16</f>
        <v>140000</v>
      </c>
      <c r="M94" s="475">
        <f t="shared" si="10"/>
        <v>0</v>
      </c>
      <c r="N94" s="477" t="str">
        <f t="shared" ref="N94" si="14">IF(K94+L94&lt;&gt;0,IF(K94&lt;&gt;0,IF(M94&lt;&gt;0,ROUND((+M94/K94),4),""),1),"")</f>
        <v/>
      </c>
      <c r="O94" s="585"/>
      <c r="P94" s="531"/>
    </row>
    <row r="95" spans="1:23" x14ac:dyDescent="0.25">
      <c r="A95" s="907">
        <f t="shared" si="11"/>
        <v>5211.1000000000004</v>
      </c>
      <c r="B95" s="907" t="str">
        <f t="shared" si="11"/>
        <v>Electricity PS</v>
      </c>
      <c r="C95" s="828"/>
      <c r="D95" s="828"/>
      <c r="E95" s="828"/>
      <c r="K95" s="475">
        <f t="shared" si="12"/>
        <v>23000</v>
      </c>
      <c r="L95" s="497">
        <f t="shared" si="13"/>
        <v>23000</v>
      </c>
      <c r="M95" s="475">
        <f t="shared" ref="M95:M132" si="15">+L95-K95</f>
        <v>0</v>
      </c>
      <c r="N95" s="477" t="str">
        <f t="shared" ref="N95:N132" si="16">IF(K95+L95&lt;&gt;0,IF(K95&lt;&gt;0,IF(M95&lt;&gt;0,ROUND((+M95/K95),4),""),1),"")</f>
        <v/>
      </c>
      <c r="O95" s="585"/>
      <c r="P95" s="531"/>
    </row>
    <row r="96" spans="1:23" x14ac:dyDescent="0.25">
      <c r="A96" s="907">
        <f t="shared" si="11"/>
        <v>5213</v>
      </c>
      <c r="B96" s="907" t="str">
        <f t="shared" si="11"/>
        <v xml:space="preserve">Heating Oil </v>
      </c>
      <c r="C96" s="828"/>
      <c r="D96" s="828"/>
      <c r="E96" s="828"/>
      <c r="K96" s="475">
        <f t="shared" si="12"/>
        <v>16500</v>
      </c>
      <c r="L96" s="497">
        <f t="shared" si="13"/>
        <v>16500</v>
      </c>
      <c r="M96" s="475">
        <f t="shared" si="15"/>
        <v>0</v>
      </c>
      <c r="N96" s="477" t="str">
        <f t="shared" si="16"/>
        <v/>
      </c>
      <c r="O96" s="1072" t="s">
        <v>1768</v>
      </c>
      <c r="P96" s="531"/>
    </row>
    <row r="97" spans="1:16" x14ac:dyDescent="0.25">
      <c r="A97" s="907">
        <f t="shared" si="11"/>
        <v>5280</v>
      </c>
      <c r="B97" s="907" t="str">
        <f t="shared" si="11"/>
        <v>Solid Waste Disposal</v>
      </c>
      <c r="C97" s="828"/>
      <c r="D97" s="828"/>
      <c r="E97" s="828"/>
      <c r="K97" s="475">
        <f t="shared" si="12"/>
        <v>170000</v>
      </c>
      <c r="L97" s="497">
        <f t="shared" si="13"/>
        <v>321000</v>
      </c>
      <c r="M97" s="475">
        <f t="shared" si="15"/>
        <v>151000</v>
      </c>
      <c r="N97" s="477">
        <f t="shared" si="16"/>
        <v>0.88819999999999999</v>
      </c>
      <c r="O97" s="1073" t="s">
        <v>1769</v>
      </c>
      <c r="P97" s="531"/>
    </row>
    <row r="98" spans="1:16" x14ac:dyDescent="0.25">
      <c r="A98" s="907">
        <f t="shared" si="11"/>
        <v>5300</v>
      </c>
      <c r="B98" s="907" t="str">
        <f t="shared" si="11"/>
        <v>Professional Services</v>
      </c>
      <c r="C98" s="828"/>
      <c r="D98" s="828"/>
      <c r="E98" s="828"/>
      <c r="K98" s="475">
        <f t="shared" si="12"/>
        <v>74000</v>
      </c>
      <c r="L98" s="497">
        <f t="shared" si="13"/>
        <v>44000</v>
      </c>
      <c r="M98" s="475">
        <f t="shared" si="15"/>
        <v>-30000</v>
      </c>
      <c r="N98" s="477">
        <f t="shared" si="16"/>
        <v>-0.40539999999999998</v>
      </c>
      <c r="O98" s="1072" t="s">
        <v>1770</v>
      </c>
      <c r="P98" s="531"/>
    </row>
    <row r="99" spans="1:16" x14ac:dyDescent="0.25">
      <c r="A99" s="907">
        <f t="shared" si="11"/>
        <v>5301</v>
      </c>
      <c r="B99" s="907" t="str">
        <f t="shared" si="11"/>
        <v>Contracted Lab</v>
      </c>
      <c r="C99" s="828"/>
      <c r="D99" s="828"/>
      <c r="E99" s="828"/>
      <c r="K99" s="475">
        <f t="shared" si="12"/>
        <v>6000</v>
      </c>
      <c r="L99" s="497">
        <f t="shared" si="13"/>
        <v>7200</v>
      </c>
      <c r="M99" s="475">
        <f t="shared" si="15"/>
        <v>1200</v>
      </c>
      <c r="N99" s="477">
        <f t="shared" si="16"/>
        <v>0.2</v>
      </c>
      <c r="O99" s="1073" t="s">
        <v>1771</v>
      </c>
      <c r="P99" s="531"/>
    </row>
    <row r="100" spans="1:16" x14ac:dyDescent="0.25">
      <c r="A100" s="907">
        <f t="shared" si="11"/>
        <v>5304</v>
      </c>
      <c r="B100" s="907" t="str">
        <f t="shared" si="11"/>
        <v>Industrial Pretreatment</v>
      </c>
      <c r="C100" s="828"/>
      <c r="D100" s="828"/>
      <c r="E100" s="828"/>
      <c r="K100" s="475">
        <f t="shared" si="12"/>
        <v>0</v>
      </c>
      <c r="L100" s="497">
        <f t="shared" si="13"/>
        <v>500</v>
      </c>
      <c r="M100" s="475">
        <f t="shared" si="15"/>
        <v>500</v>
      </c>
      <c r="N100" s="477">
        <f t="shared" si="16"/>
        <v>1</v>
      </c>
      <c r="O100" s="1073" t="s">
        <v>1772</v>
      </c>
      <c r="P100" s="531"/>
    </row>
    <row r="101" spans="1:16" x14ac:dyDescent="0.25">
      <c r="A101" s="907">
        <f t="shared" si="11"/>
        <v>5305</v>
      </c>
      <c r="B101" s="907" t="str">
        <f t="shared" si="11"/>
        <v>SCADA Controls</v>
      </c>
      <c r="C101" s="828"/>
      <c r="D101" s="828"/>
      <c r="E101" s="828"/>
      <c r="K101" s="475">
        <f t="shared" si="12"/>
        <v>0</v>
      </c>
      <c r="L101" s="497">
        <f t="shared" si="13"/>
        <v>35000</v>
      </c>
      <c r="M101" s="475">
        <f t="shared" si="15"/>
        <v>35000</v>
      </c>
      <c r="N101" s="477">
        <f t="shared" si="16"/>
        <v>1</v>
      </c>
      <c r="O101" s="1073" t="s">
        <v>1772</v>
      </c>
      <c r="P101" s="531"/>
    </row>
    <row r="102" spans="1:16" x14ac:dyDescent="0.25">
      <c r="A102" s="907">
        <f t="shared" si="11"/>
        <v>5310</v>
      </c>
      <c r="B102" s="907" t="str">
        <f t="shared" si="11"/>
        <v>Safety Expenses</v>
      </c>
      <c r="C102" s="828"/>
      <c r="D102" s="828"/>
      <c r="E102" s="828"/>
      <c r="K102" s="475">
        <f t="shared" si="12"/>
        <v>6000</v>
      </c>
      <c r="L102" s="497">
        <f t="shared" si="13"/>
        <v>6000</v>
      </c>
      <c r="M102" s="475">
        <f t="shared" si="15"/>
        <v>0</v>
      </c>
      <c r="N102" s="477" t="str">
        <f t="shared" si="16"/>
        <v/>
      </c>
      <c r="O102" s="585"/>
      <c r="P102" s="531"/>
    </row>
    <row r="103" spans="1:16" x14ac:dyDescent="0.25">
      <c r="A103" s="907">
        <f t="shared" si="11"/>
        <v>5320</v>
      </c>
      <c r="B103" s="907" t="str">
        <f t="shared" si="11"/>
        <v>Professional Development</v>
      </c>
      <c r="C103" s="828"/>
      <c r="D103" s="828"/>
      <c r="E103" s="828"/>
      <c r="K103" s="475">
        <f t="shared" si="12"/>
        <v>5000</v>
      </c>
      <c r="L103" s="497">
        <f t="shared" si="13"/>
        <v>5000</v>
      </c>
      <c r="M103" s="475">
        <f t="shared" si="15"/>
        <v>0</v>
      </c>
      <c r="N103" s="477" t="str">
        <f t="shared" si="16"/>
        <v/>
      </c>
      <c r="O103" s="585"/>
      <c r="P103" s="531"/>
    </row>
    <row r="104" spans="1:16" x14ac:dyDescent="0.25">
      <c r="A104" s="907">
        <f t="shared" si="11"/>
        <v>5340</v>
      </c>
      <c r="B104" s="907" t="str">
        <f t="shared" si="11"/>
        <v>Computer/Office Exp</v>
      </c>
      <c r="C104" s="828"/>
      <c r="D104" s="828"/>
      <c r="E104" s="828"/>
      <c r="K104" s="475">
        <f t="shared" si="12"/>
        <v>6500</v>
      </c>
      <c r="L104" s="497">
        <f t="shared" si="13"/>
        <v>6500</v>
      </c>
      <c r="M104" s="475">
        <f t="shared" si="15"/>
        <v>0</v>
      </c>
      <c r="N104" s="477" t="str">
        <f t="shared" si="16"/>
        <v/>
      </c>
      <c r="O104" s="585"/>
      <c r="P104" s="531"/>
    </row>
    <row r="105" spans="1:16" x14ac:dyDescent="0.25">
      <c r="A105" s="907">
        <f t="shared" si="11"/>
        <v>5360</v>
      </c>
      <c r="B105" s="907" t="str">
        <f t="shared" si="11"/>
        <v xml:space="preserve">Grounds </v>
      </c>
      <c r="C105" s="828"/>
      <c r="D105" s="828"/>
      <c r="E105" s="828"/>
      <c r="K105" s="475">
        <f t="shared" si="12"/>
        <v>2500</v>
      </c>
      <c r="L105" s="497">
        <f t="shared" si="13"/>
        <v>2500</v>
      </c>
      <c r="M105" s="475">
        <f t="shared" si="15"/>
        <v>0</v>
      </c>
      <c r="N105" s="477" t="str">
        <f t="shared" si="16"/>
        <v/>
      </c>
      <c r="O105" s="585"/>
      <c r="P105" s="531"/>
    </row>
    <row r="106" spans="1:16" x14ac:dyDescent="0.25">
      <c r="A106" s="907">
        <f t="shared" si="11"/>
        <v>5370</v>
      </c>
      <c r="B106" s="907" t="str">
        <f t="shared" si="11"/>
        <v xml:space="preserve">Buildings </v>
      </c>
      <c r="C106" s="828"/>
      <c r="D106" s="828"/>
      <c r="E106" s="828"/>
      <c r="K106" s="475">
        <f t="shared" si="12"/>
        <v>13500</v>
      </c>
      <c r="L106" s="497">
        <f t="shared" si="13"/>
        <v>16000</v>
      </c>
      <c r="M106" s="475">
        <f t="shared" si="15"/>
        <v>2500</v>
      </c>
      <c r="N106" s="477">
        <f t="shared" si="16"/>
        <v>0.1852</v>
      </c>
      <c r="O106" s="1073" t="s">
        <v>1773</v>
      </c>
      <c r="P106" s="531"/>
    </row>
    <row r="107" spans="1:16" x14ac:dyDescent="0.25">
      <c r="A107" s="907">
        <f t="shared" si="11"/>
        <v>5371</v>
      </c>
      <c r="B107" s="907" t="str">
        <f t="shared" si="11"/>
        <v>HVAC</v>
      </c>
      <c r="C107" s="828"/>
      <c r="D107" s="828"/>
      <c r="E107" s="828"/>
      <c r="K107" s="475">
        <f t="shared" si="12"/>
        <v>6000</v>
      </c>
      <c r="L107" s="497">
        <f t="shared" si="13"/>
        <v>6000</v>
      </c>
      <c r="M107" s="475">
        <f t="shared" si="15"/>
        <v>0</v>
      </c>
      <c r="N107" s="477" t="str">
        <f t="shared" si="16"/>
        <v/>
      </c>
      <c r="O107" s="585"/>
      <c r="P107" s="531"/>
    </row>
    <row r="108" spans="1:16" x14ac:dyDescent="0.25">
      <c r="A108" s="907">
        <f t="shared" si="11"/>
        <v>5400</v>
      </c>
      <c r="B108" s="907" t="str">
        <f t="shared" si="11"/>
        <v>Equipment</v>
      </c>
      <c r="C108" s="828"/>
      <c r="D108" s="828"/>
      <c r="E108" s="828"/>
      <c r="K108" s="475">
        <f t="shared" si="12"/>
        <v>116000</v>
      </c>
      <c r="L108" s="497">
        <f t="shared" si="13"/>
        <v>72500</v>
      </c>
      <c r="M108" s="475">
        <f t="shared" si="15"/>
        <v>-43500</v>
      </c>
      <c r="N108" s="477">
        <f t="shared" si="16"/>
        <v>-0.375</v>
      </c>
      <c r="O108" s="1086" t="s">
        <v>1774</v>
      </c>
      <c r="P108" s="531"/>
    </row>
    <row r="109" spans="1:16" x14ac:dyDescent="0.25">
      <c r="A109" s="907">
        <f t="shared" si="11"/>
        <v>5401</v>
      </c>
      <c r="B109" s="907" t="str">
        <f t="shared" si="11"/>
        <v>Preliminary Equip/Headworks</v>
      </c>
      <c r="C109" s="828"/>
      <c r="D109" s="828"/>
      <c r="E109" s="828"/>
      <c r="K109" s="475">
        <f t="shared" ref="K109:K111" si="17">+M31</f>
        <v>0</v>
      </c>
      <c r="L109" s="497">
        <f t="shared" si="13"/>
        <v>5000</v>
      </c>
      <c r="M109" s="475">
        <f t="shared" si="15"/>
        <v>5000</v>
      </c>
      <c r="N109" s="477">
        <f t="shared" si="16"/>
        <v>1</v>
      </c>
      <c r="O109" s="1086" t="s">
        <v>1775</v>
      </c>
      <c r="P109" s="531"/>
    </row>
    <row r="110" spans="1:16" x14ac:dyDescent="0.25">
      <c r="A110" s="907">
        <f t="shared" si="11"/>
        <v>5402</v>
      </c>
      <c r="B110" s="907" t="str">
        <f t="shared" si="11"/>
        <v>Primary Equipment</v>
      </c>
      <c r="C110" s="828"/>
      <c r="D110" s="828"/>
      <c r="E110" s="828"/>
      <c r="K110" s="475">
        <f t="shared" si="17"/>
        <v>0</v>
      </c>
      <c r="L110" s="497">
        <f t="shared" si="13"/>
        <v>30000</v>
      </c>
      <c r="M110" s="475">
        <f t="shared" si="15"/>
        <v>30000</v>
      </c>
      <c r="N110" s="477">
        <f t="shared" si="16"/>
        <v>1</v>
      </c>
      <c r="O110" s="1086" t="s">
        <v>1775</v>
      </c>
      <c r="P110" s="531"/>
    </row>
    <row r="111" spans="1:16" x14ac:dyDescent="0.25">
      <c r="A111" s="907">
        <f t="shared" si="11"/>
        <v>5403</v>
      </c>
      <c r="B111" s="907" t="str">
        <f t="shared" si="11"/>
        <v>Secondary Equipment</v>
      </c>
      <c r="C111" s="828"/>
      <c r="D111" s="828"/>
      <c r="E111" s="828"/>
      <c r="K111" s="475">
        <f t="shared" si="17"/>
        <v>0</v>
      </c>
      <c r="L111" s="497">
        <f t="shared" si="13"/>
        <v>7000</v>
      </c>
      <c r="M111" s="475">
        <f t="shared" si="15"/>
        <v>7000</v>
      </c>
      <c r="N111" s="477">
        <f t="shared" si="16"/>
        <v>1</v>
      </c>
      <c r="O111" s="1086" t="s">
        <v>1775</v>
      </c>
      <c r="P111" s="531"/>
    </row>
    <row r="112" spans="1:16" x14ac:dyDescent="0.25">
      <c r="A112" s="907">
        <f t="shared" ref="A112:B112" si="18">+A37</f>
        <v>5404</v>
      </c>
      <c r="B112" s="907" t="str">
        <f t="shared" si="18"/>
        <v xml:space="preserve">Sludge Equipment </v>
      </c>
      <c r="C112" s="828"/>
      <c r="D112" s="828"/>
      <c r="E112" s="828"/>
      <c r="K112" s="475">
        <f t="shared" ref="K112:K131" si="19">+M37</f>
        <v>20000</v>
      </c>
      <c r="L112" s="497">
        <f t="shared" ref="L112:L131" si="20">+O37</f>
        <v>20000</v>
      </c>
      <c r="M112" s="475">
        <f t="shared" si="15"/>
        <v>0</v>
      </c>
      <c r="N112" s="477" t="str">
        <f t="shared" si="16"/>
        <v/>
      </c>
      <c r="O112" s="585"/>
      <c r="P112" s="531"/>
    </row>
    <row r="113" spans="1:16" x14ac:dyDescent="0.25">
      <c r="A113" s="907">
        <f t="shared" ref="A113:B113" si="21">+A38</f>
        <v>5406</v>
      </c>
      <c r="B113" s="907" t="str">
        <f t="shared" si="21"/>
        <v>Water &amp; Hydrants</v>
      </c>
      <c r="C113" s="828"/>
      <c r="D113" s="828"/>
      <c r="E113" s="828"/>
      <c r="K113" s="475">
        <f t="shared" si="19"/>
        <v>3000</v>
      </c>
      <c r="L113" s="497">
        <f t="shared" si="20"/>
        <v>3000</v>
      </c>
      <c r="M113" s="475">
        <f t="shared" si="15"/>
        <v>0</v>
      </c>
      <c r="N113" s="477" t="str">
        <f t="shared" si="16"/>
        <v/>
      </c>
      <c r="O113" s="585"/>
      <c r="P113" s="531"/>
    </row>
    <row r="114" spans="1:16" x14ac:dyDescent="0.25">
      <c r="A114" s="907">
        <f t="shared" ref="A114:B114" si="22">+A39</f>
        <v>5407</v>
      </c>
      <c r="B114" s="907" t="str">
        <f t="shared" si="22"/>
        <v>Primary Effluent Screw Pumps</v>
      </c>
      <c r="C114" s="828"/>
      <c r="D114" s="828"/>
      <c r="E114" s="828"/>
      <c r="K114" s="475">
        <f t="shared" si="19"/>
        <v>0</v>
      </c>
      <c r="L114" s="497">
        <f t="shared" si="20"/>
        <v>1500</v>
      </c>
      <c r="M114" s="475">
        <f t="shared" si="15"/>
        <v>1500</v>
      </c>
      <c r="N114" s="477">
        <f t="shared" si="16"/>
        <v>1</v>
      </c>
      <c r="O114" s="1073" t="s">
        <v>1775</v>
      </c>
      <c r="P114" s="531"/>
    </row>
    <row r="115" spans="1:16" x14ac:dyDescent="0.25">
      <c r="A115" s="907">
        <f t="shared" ref="A115:B115" si="23">+A40</f>
        <v>5408</v>
      </c>
      <c r="B115" s="907" t="str">
        <f t="shared" si="23"/>
        <v>Septage Handling</v>
      </c>
      <c r="C115" s="828"/>
      <c r="D115" s="828"/>
      <c r="E115" s="828"/>
      <c r="K115" s="475">
        <f t="shared" si="19"/>
        <v>1000</v>
      </c>
      <c r="L115" s="497">
        <f t="shared" si="20"/>
        <v>1000</v>
      </c>
      <c r="M115" s="475">
        <f t="shared" si="15"/>
        <v>0</v>
      </c>
      <c r="N115" s="477" t="str">
        <f t="shared" si="16"/>
        <v/>
      </c>
      <c r="O115" s="1074"/>
      <c r="P115" s="471"/>
    </row>
    <row r="116" spans="1:16" x14ac:dyDescent="0.25">
      <c r="A116" s="907">
        <f t="shared" ref="A116:B116" si="24">+A41</f>
        <v>5409</v>
      </c>
      <c r="B116" s="907" t="str">
        <f t="shared" si="24"/>
        <v>Odor Control</v>
      </c>
      <c r="C116" s="828"/>
      <c r="D116" s="828"/>
      <c r="E116" s="828"/>
      <c r="K116" s="475">
        <f t="shared" si="19"/>
        <v>0</v>
      </c>
      <c r="L116" s="497">
        <f t="shared" si="20"/>
        <v>10000</v>
      </c>
      <c r="M116" s="475">
        <f t="shared" si="15"/>
        <v>10000</v>
      </c>
      <c r="N116" s="477">
        <f t="shared" si="16"/>
        <v>1</v>
      </c>
      <c r="O116" s="1073" t="s">
        <v>1776</v>
      </c>
      <c r="P116" s="471"/>
    </row>
    <row r="117" spans="1:16" x14ac:dyDescent="0.25">
      <c r="A117" s="907">
        <f t="shared" ref="A117:B117" si="25">+A42</f>
        <v>5410</v>
      </c>
      <c r="B117" s="907" t="str">
        <f t="shared" si="25"/>
        <v>Pump Station</v>
      </c>
      <c r="C117" s="828"/>
      <c r="D117" s="828"/>
      <c r="E117" s="828"/>
      <c r="K117" s="475">
        <f t="shared" si="19"/>
        <v>30000</v>
      </c>
      <c r="L117" s="497">
        <f t="shared" si="20"/>
        <v>30000</v>
      </c>
      <c r="M117" s="475">
        <f t="shared" si="15"/>
        <v>0</v>
      </c>
      <c r="N117" s="477" t="str">
        <f t="shared" si="16"/>
        <v/>
      </c>
      <c r="O117" s="1075"/>
      <c r="P117" s="471"/>
    </row>
    <row r="118" spans="1:16" x14ac:dyDescent="0.25">
      <c r="A118" s="907">
        <f t="shared" ref="A118:B118" si="26">+A43</f>
        <v>5411</v>
      </c>
      <c r="B118" s="907" t="str">
        <f t="shared" si="26"/>
        <v>Communications</v>
      </c>
      <c r="C118" s="828"/>
      <c r="D118" s="828"/>
      <c r="E118" s="828"/>
      <c r="K118" s="475">
        <f t="shared" si="19"/>
        <v>10000</v>
      </c>
      <c r="L118" s="497">
        <f t="shared" si="20"/>
        <v>10000</v>
      </c>
      <c r="M118" s="475">
        <f t="shared" si="15"/>
        <v>0</v>
      </c>
      <c r="N118" s="477" t="str">
        <f t="shared" si="16"/>
        <v/>
      </c>
      <c r="O118" s="1075"/>
      <c r="P118" s="471"/>
    </row>
    <row r="119" spans="1:16" x14ac:dyDescent="0.25">
      <c r="A119" s="907">
        <f t="shared" ref="A119:B119" si="27">+A44</f>
        <v>5415</v>
      </c>
      <c r="B119" s="907" t="str">
        <f t="shared" si="27"/>
        <v>Oil &amp; Lubricants</v>
      </c>
      <c r="C119" s="828"/>
      <c r="D119" s="828"/>
      <c r="E119" s="828"/>
      <c r="K119" s="475">
        <f t="shared" si="19"/>
        <v>0</v>
      </c>
      <c r="L119" s="497">
        <f t="shared" si="20"/>
        <v>4000</v>
      </c>
      <c r="M119" s="475">
        <f t="shared" si="15"/>
        <v>4000</v>
      </c>
      <c r="N119" s="477">
        <f t="shared" si="16"/>
        <v>1</v>
      </c>
      <c r="O119" s="1072" t="s">
        <v>1777</v>
      </c>
      <c r="P119" s="471"/>
    </row>
    <row r="120" spans="1:16" x14ac:dyDescent="0.25">
      <c r="A120" s="907">
        <f t="shared" ref="A120:B120" si="28">+A45</f>
        <v>5418</v>
      </c>
      <c r="B120" s="907" t="str">
        <f t="shared" si="28"/>
        <v>Chlorination</v>
      </c>
      <c r="C120" s="828"/>
      <c r="D120" s="828"/>
      <c r="E120" s="828"/>
      <c r="K120" s="475">
        <f t="shared" si="19"/>
        <v>0</v>
      </c>
      <c r="L120" s="497">
        <f t="shared" si="20"/>
        <v>20000</v>
      </c>
      <c r="M120" s="475">
        <f t="shared" si="15"/>
        <v>20000</v>
      </c>
      <c r="N120" s="477">
        <f t="shared" si="16"/>
        <v>1</v>
      </c>
      <c r="O120" s="1073" t="s">
        <v>1778</v>
      </c>
      <c r="P120" s="471"/>
    </row>
    <row r="121" spans="1:16" x14ac:dyDescent="0.25">
      <c r="A121" s="907">
        <f t="shared" ref="A121:B121" si="29">+A46</f>
        <v>5430</v>
      </c>
      <c r="B121" s="907" t="str">
        <f t="shared" si="29"/>
        <v>CSO</v>
      </c>
      <c r="C121" s="828"/>
      <c r="D121" s="828"/>
      <c r="E121" s="828"/>
      <c r="K121" s="475">
        <f t="shared" si="19"/>
        <v>20000</v>
      </c>
      <c r="L121" s="497">
        <f t="shared" si="20"/>
        <v>20000</v>
      </c>
      <c r="M121" s="475">
        <f t="shared" si="15"/>
        <v>0</v>
      </c>
      <c r="N121" s="477" t="str">
        <f t="shared" si="16"/>
        <v/>
      </c>
      <c r="O121" s="1075"/>
      <c r="P121" s="471"/>
    </row>
    <row r="122" spans="1:16" x14ac:dyDescent="0.25">
      <c r="A122" s="907">
        <f t="shared" ref="A122:B122" si="30">+A47</f>
        <v>5440</v>
      </c>
      <c r="B122" s="907" t="str">
        <f t="shared" si="30"/>
        <v>Other operational Supplies</v>
      </c>
      <c r="C122" s="828"/>
      <c r="D122" s="828"/>
      <c r="E122" s="828"/>
      <c r="K122" s="475">
        <f t="shared" si="19"/>
        <v>29000</v>
      </c>
      <c r="L122" s="497">
        <f t="shared" si="20"/>
        <v>19000</v>
      </c>
      <c r="M122" s="475">
        <f t="shared" si="15"/>
        <v>-10000</v>
      </c>
      <c r="N122" s="477">
        <f t="shared" si="16"/>
        <v>-0.3448</v>
      </c>
      <c r="O122" s="1073" t="s">
        <v>1779</v>
      </c>
      <c r="P122" s="471"/>
    </row>
    <row r="123" spans="1:16" x14ac:dyDescent="0.25">
      <c r="A123" s="907">
        <f t="shared" ref="A123:B123" si="31">+A48</f>
        <v>5446</v>
      </c>
      <c r="B123" s="907" t="str">
        <f t="shared" si="31"/>
        <v>Lab Supplies</v>
      </c>
      <c r="C123" s="828"/>
      <c r="D123" s="828"/>
      <c r="E123" s="828"/>
      <c r="K123" s="475">
        <f t="shared" si="19"/>
        <v>6000</v>
      </c>
      <c r="L123" s="497">
        <f t="shared" si="20"/>
        <v>12000</v>
      </c>
      <c r="M123" s="475">
        <f t="shared" si="15"/>
        <v>6000</v>
      </c>
      <c r="N123" s="477">
        <f t="shared" si="16"/>
        <v>1</v>
      </c>
      <c r="O123" s="1072" t="s">
        <v>1780</v>
      </c>
      <c r="P123" s="471"/>
    </row>
    <row r="124" spans="1:16" x14ac:dyDescent="0.25">
      <c r="A124" s="907">
        <f t="shared" ref="A124:B124" si="32">+A49</f>
        <v>5470</v>
      </c>
      <c r="B124" s="907" t="str">
        <f t="shared" si="32"/>
        <v>Chemicals (orig budg incl in 5280, 5440)</v>
      </c>
      <c r="C124" s="828"/>
      <c r="D124" s="828"/>
      <c r="E124" s="828"/>
      <c r="K124" s="475">
        <f t="shared" si="19"/>
        <v>60000</v>
      </c>
      <c r="L124" s="497">
        <f t="shared" si="20"/>
        <v>30000</v>
      </c>
      <c r="M124" s="475">
        <f t="shared" si="15"/>
        <v>-30000</v>
      </c>
      <c r="N124" s="477">
        <f t="shared" si="16"/>
        <v>-0.5</v>
      </c>
      <c r="O124" s="1073" t="s">
        <v>1781</v>
      </c>
      <c r="P124" s="471"/>
    </row>
    <row r="125" spans="1:16" x14ac:dyDescent="0.25">
      <c r="A125" s="907">
        <f t="shared" ref="A125:B125" si="33">+A50</f>
        <v>5480</v>
      </c>
      <c r="B125" s="907" t="str">
        <f t="shared" si="33"/>
        <v>Vehicle Supplies Pickups</v>
      </c>
      <c r="C125" s="828"/>
      <c r="D125" s="828"/>
      <c r="E125" s="828"/>
      <c r="K125" s="475">
        <f t="shared" si="19"/>
        <v>6000</v>
      </c>
      <c r="L125" s="497">
        <f t="shared" si="20"/>
        <v>6000</v>
      </c>
      <c r="M125" s="475">
        <f t="shared" si="15"/>
        <v>0</v>
      </c>
      <c r="N125" s="477" t="str">
        <f t="shared" si="16"/>
        <v/>
      </c>
      <c r="O125" s="1075"/>
      <c r="P125" s="471"/>
    </row>
    <row r="126" spans="1:16" x14ac:dyDescent="0.25">
      <c r="A126" s="907">
        <f t="shared" ref="A126:B126" si="34">+A51</f>
        <v>5582</v>
      </c>
      <c r="B126" s="907" t="str">
        <f t="shared" si="34"/>
        <v>Uniforms/Clothing</v>
      </c>
      <c r="C126" s="828"/>
      <c r="D126" s="828"/>
      <c r="E126" s="828"/>
      <c r="K126" s="475">
        <f t="shared" si="19"/>
        <v>4200</v>
      </c>
      <c r="L126" s="497">
        <f t="shared" si="20"/>
        <v>4200</v>
      </c>
      <c r="M126" s="475">
        <f t="shared" si="15"/>
        <v>0</v>
      </c>
      <c r="N126" s="477" t="str">
        <f t="shared" si="16"/>
        <v/>
      </c>
      <c r="O126" s="1075"/>
      <c r="P126" s="471"/>
    </row>
    <row r="127" spans="1:16" x14ac:dyDescent="0.25">
      <c r="A127" s="907">
        <f t="shared" ref="A127:B127" si="35">+A52</f>
        <v>5740</v>
      </c>
      <c r="B127" s="907" t="str">
        <f t="shared" si="35"/>
        <v>General Insurance</v>
      </c>
      <c r="C127" s="828"/>
      <c r="D127" s="828"/>
      <c r="E127" s="828"/>
      <c r="K127" s="475">
        <f t="shared" si="19"/>
        <v>25000</v>
      </c>
      <c r="L127" s="497">
        <f t="shared" si="20"/>
        <v>25000</v>
      </c>
      <c r="M127" s="475">
        <f t="shared" si="15"/>
        <v>0</v>
      </c>
      <c r="N127" s="477" t="str">
        <f t="shared" si="16"/>
        <v/>
      </c>
      <c r="O127" s="1075"/>
      <c r="P127" s="471"/>
    </row>
    <row r="128" spans="1:16" x14ac:dyDescent="0.25">
      <c r="A128" s="907">
        <f t="shared" ref="A128:B128" si="36">+A53</f>
        <v>5790</v>
      </c>
      <c r="B128" s="907" t="str">
        <f t="shared" si="36"/>
        <v>Town Overhead</v>
      </c>
      <c r="C128" s="828"/>
      <c r="D128" s="828"/>
      <c r="E128" s="828"/>
      <c r="K128" s="475">
        <f t="shared" si="19"/>
        <v>54087</v>
      </c>
      <c r="L128" s="497">
        <f t="shared" si="20"/>
        <v>49590</v>
      </c>
      <c r="M128" s="475">
        <f t="shared" si="15"/>
        <v>-4497</v>
      </c>
      <c r="N128" s="477">
        <f t="shared" si="16"/>
        <v>-8.3099999999999993E-2</v>
      </c>
      <c r="O128" s="1073" t="s">
        <v>1782</v>
      </c>
      <c r="P128" s="471"/>
    </row>
    <row r="129" spans="1:16" x14ac:dyDescent="0.25">
      <c r="A129" s="907">
        <f t="shared" ref="A129:B129" si="37">+A54</f>
        <v>5791</v>
      </c>
      <c r="B129" s="907" t="str">
        <f t="shared" si="37"/>
        <v>TFFD Overhead</v>
      </c>
      <c r="C129" s="828"/>
      <c r="D129" s="828"/>
      <c r="E129" s="828"/>
      <c r="K129" s="475">
        <f t="shared" si="19"/>
        <v>5500</v>
      </c>
      <c r="L129" s="497">
        <f t="shared" si="20"/>
        <v>5500</v>
      </c>
      <c r="M129" s="475">
        <f t="shared" si="15"/>
        <v>0</v>
      </c>
      <c r="N129" s="477" t="str">
        <f t="shared" si="16"/>
        <v/>
      </c>
      <c r="O129" s="586"/>
      <c r="P129" s="471"/>
    </row>
    <row r="130" spans="1:16" x14ac:dyDescent="0.25">
      <c r="A130" s="907">
        <f t="shared" ref="A130:B130" si="38">+A55</f>
        <v>5795</v>
      </c>
      <c r="B130" s="907" t="str">
        <f t="shared" si="38"/>
        <v>Millers Falls Assessment</v>
      </c>
      <c r="C130" s="828"/>
      <c r="D130" s="828"/>
      <c r="E130" s="828"/>
      <c r="K130" s="475">
        <f t="shared" si="19"/>
        <v>220000</v>
      </c>
      <c r="L130" s="497">
        <f t="shared" si="20"/>
        <v>220000</v>
      </c>
      <c r="M130" s="475">
        <f t="shared" si="15"/>
        <v>0</v>
      </c>
      <c r="N130" s="477" t="str">
        <f t="shared" si="16"/>
        <v/>
      </c>
      <c r="O130" s="588"/>
      <c r="P130" s="471"/>
    </row>
    <row r="131" spans="1:16" x14ac:dyDescent="0.25">
      <c r="A131" s="907">
        <f t="shared" ref="A131:B131" si="39">+A56</f>
        <v>5796</v>
      </c>
      <c r="B131" s="907" t="str">
        <f t="shared" si="39"/>
        <v>Millers Falls Overage Charge</v>
      </c>
      <c r="C131" s="828"/>
      <c r="D131" s="828"/>
      <c r="E131" s="828"/>
      <c r="K131" s="475">
        <f t="shared" si="19"/>
        <v>55000</v>
      </c>
      <c r="L131" s="497">
        <f t="shared" si="20"/>
        <v>55000</v>
      </c>
      <c r="M131" s="475">
        <f t="shared" si="15"/>
        <v>0</v>
      </c>
      <c r="N131" s="477" t="str">
        <f t="shared" si="16"/>
        <v/>
      </c>
      <c r="O131" s="833"/>
      <c r="P131" s="512"/>
    </row>
    <row r="132" spans="1:16" x14ac:dyDescent="0.25">
      <c r="A132" s="907">
        <f t="shared" ref="A132:B132" si="40">+A58</f>
        <v>5780</v>
      </c>
      <c r="B132" s="907" t="str">
        <f t="shared" si="40"/>
        <v>Budgeted Surplus</v>
      </c>
      <c r="C132" s="828"/>
      <c r="D132" s="828"/>
      <c r="E132" s="828"/>
      <c r="K132" s="475">
        <f>+M58</f>
        <v>68172</v>
      </c>
      <c r="L132" s="497">
        <f>+O58</f>
        <v>68172</v>
      </c>
      <c r="M132" s="475">
        <f t="shared" si="15"/>
        <v>0</v>
      </c>
      <c r="N132" s="477" t="str">
        <f t="shared" si="16"/>
        <v/>
      </c>
      <c r="O132" s="588"/>
      <c r="P132" s="471"/>
    </row>
    <row r="133" spans="1:16" x14ac:dyDescent="0.25">
      <c r="A133" s="907"/>
      <c r="B133" s="907"/>
      <c r="C133" s="828"/>
      <c r="D133" s="828"/>
      <c r="E133" s="828"/>
      <c r="K133" s="475"/>
      <c r="L133" s="497"/>
      <c r="M133" s="475"/>
      <c r="N133" s="477"/>
      <c r="O133" s="588"/>
      <c r="P133" s="471"/>
    </row>
    <row r="134" spans="1:16" x14ac:dyDescent="0.25">
      <c r="A134" s="898"/>
      <c r="B134" s="4" t="s">
        <v>1363</v>
      </c>
      <c r="C134" s="23"/>
      <c r="D134" s="23"/>
      <c r="E134" s="23"/>
      <c r="F134" s="23"/>
      <c r="G134" s="23"/>
      <c r="K134" s="742">
        <f>SUM(K89:K133)</f>
        <v>1693291</v>
      </c>
      <c r="L134" s="742">
        <f>SUM(L89:L133)</f>
        <v>1898655</v>
      </c>
      <c r="M134" s="742">
        <f>SUM(M89:M133)</f>
        <v>205364</v>
      </c>
      <c r="N134" s="743">
        <f>IF(K134+L134&lt;&gt;0,IF(K134&lt;&gt;0,IF(M134&lt;&gt;0,ROUND((+M134/K134),4),""),1),"")</f>
        <v>0.12130000000000001</v>
      </c>
    </row>
    <row r="135" spans="1:16" x14ac:dyDescent="0.25">
      <c r="I135" s="114">
        <f>+K64</f>
        <v>1585763</v>
      </c>
    </row>
  </sheetData>
  <phoneticPr fontId="0" type="noConversion"/>
  <hyperlinks>
    <hyperlink ref="A1" location="'Working Budget with funding det'!A1" display="Main " xr:uid="{00000000-0004-0000-3900-000000000000}"/>
    <hyperlink ref="B1" location="'Table of Contents'!A1" display="TOC" xr:uid="{00000000-0004-0000-3900-000001000000}"/>
  </hyperlinks>
  <pageMargins left="0.75" right="0.75" top="1" bottom="1" header="0.5" footer="0.5"/>
  <pageSetup scale="88" fitToHeight="4" orientation="landscape" horizontalDpi="300" verticalDpi="300" r:id="rId1"/>
  <headerFooter alignWithMargins="0">
    <oddFooter>&amp;L&amp;D     &amp;T&amp;C&amp;F&amp;R&amp;A   &amp;P</oddFooter>
  </headerFooter>
  <rowBreaks count="1" manualBreakCount="1">
    <brk id="69" max="16"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92D050"/>
  </sheetPr>
  <dimension ref="A1:T160"/>
  <sheetViews>
    <sheetView topLeftCell="A4" zoomScaleNormal="100" workbookViewId="0">
      <selection activeCell="P4" sqref="P1:P1048576"/>
    </sheetView>
  </sheetViews>
  <sheetFormatPr defaultRowHeight="13.2" x14ac:dyDescent="0.25"/>
  <cols>
    <col min="1" max="1" width="8.77734375" style="885"/>
    <col min="2" max="2" width="36.6640625" customWidth="1"/>
    <col min="3" max="3" width="14.44140625" style="1" hidden="1" customWidth="1"/>
    <col min="4" max="10" width="14.44140625" style="114" hidden="1" customWidth="1"/>
    <col min="11" max="13" width="14.44140625" style="114" customWidth="1"/>
    <col min="14" max="14" width="14.44140625" customWidth="1"/>
    <col min="15" max="16" width="14.44140625" style="1" customWidth="1"/>
    <col min="17" max="19" width="14.44140625" customWidth="1"/>
    <col min="20" max="20" width="14.6640625" style="2" customWidth="1"/>
  </cols>
  <sheetData>
    <row r="1" spans="1:19" x14ac:dyDescent="0.25">
      <c r="A1" s="874" t="s">
        <v>1021</v>
      </c>
      <c r="B1" s="371" t="s">
        <v>1348</v>
      </c>
      <c r="P1"/>
    </row>
    <row r="2" spans="1:19" ht="13.8" x14ac:dyDescent="0.25">
      <c r="A2" s="875" t="s">
        <v>269</v>
      </c>
      <c r="B2" s="45"/>
      <c r="E2" s="141"/>
      <c r="I2" s="141" t="s">
        <v>257</v>
      </c>
      <c r="J2" s="61"/>
      <c r="K2" s="61"/>
      <c r="L2" s="61"/>
      <c r="M2" s="61"/>
      <c r="N2" s="1"/>
      <c r="O2" s="46" t="s">
        <v>509</v>
      </c>
    </row>
    <row r="3" spans="1:19" ht="13.8" thickBot="1" x14ac:dyDescent="0.3">
      <c r="A3" s="876"/>
      <c r="B3" s="4"/>
      <c r="C3" s="23"/>
      <c r="D3" s="23"/>
      <c r="E3" s="23"/>
      <c r="F3" s="23"/>
      <c r="G3" s="23"/>
      <c r="H3" s="23"/>
      <c r="I3" s="23"/>
      <c r="J3" s="23"/>
      <c r="K3" s="23"/>
      <c r="L3" s="23"/>
      <c r="M3" s="23"/>
      <c r="N3" s="4"/>
      <c r="O3" s="23"/>
      <c r="P3" s="4"/>
      <c r="S3" s="4"/>
    </row>
    <row r="4" spans="1:19" ht="13.8" thickTop="1" x14ac:dyDescent="0.25">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t="s">
        <v>910</v>
      </c>
    </row>
    <row r="5" spans="1:19" x14ac:dyDescent="0.25">
      <c r="A5" s="878"/>
      <c r="B5" s="209"/>
      <c r="C5" s="127"/>
      <c r="D5" s="87"/>
      <c r="E5" s="113"/>
      <c r="F5" s="87"/>
      <c r="G5" s="87"/>
      <c r="H5" s="113"/>
      <c r="I5" s="290"/>
      <c r="J5" s="290"/>
      <c r="K5" s="290"/>
      <c r="L5" s="290"/>
      <c r="M5" s="290"/>
      <c r="N5" s="113" t="s">
        <v>515</v>
      </c>
      <c r="O5" s="88" t="s">
        <v>7</v>
      </c>
      <c r="P5" s="203" t="s">
        <v>782</v>
      </c>
    </row>
    <row r="6" spans="1:19" x14ac:dyDescent="0.25">
      <c r="A6" s="878"/>
      <c r="B6" s="209"/>
      <c r="C6" s="127"/>
      <c r="D6" s="127"/>
      <c r="E6" s="127"/>
      <c r="F6" s="87"/>
      <c r="G6" s="127"/>
      <c r="H6" s="127"/>
      <c r="I6" s="88"/>
      <c r="J6" s="88"/>
      <c r="K6" s="88"/>
      <c r="L6" s="88"/>
      <c r="M6" s="88"/>
      <c r="N6" s="127"/>
      <c r="O6" s="88" t="s">
        <v>8</v>
      </c>
      <c r="P6" s="47" t="s">
        <v>543</v>
      </c>
    </row>
    <row r="7" spans="1:19"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44196</v>
      </c>
      <c r="O7" s="9" t="s">
        <v>9</v>
      </c>
      <c r="P7" s="9" t="s">
        <v>546</v>
      </c>
    </row>
    <row r="8" spans="1:19" ht="13.8" thickTop="1" x14ac:dyDescent="0.25">
      <c r="A8" s="908"/>
      <c r="B8" s="210"/>
      <c r="C8" s="132"/>
      <c r="D8" s="18"/>
      <c r="E8" s="18"/>
      <c r="F8" s="18"/>
      <c r="G8" s="18"/>
      <c r="H8" s="18"/>
      <c r="I8" s="19"/>
      <c r="J8" s="19"/>
      <c r="K8" s="19"/>
      <c r="L8" s="19"/>
      <c r="M8" s="19"/>
      <c r="N8" s="18"/>
      <c r="O8" s="19"/>
      <c r="P8" s="19"/>
    </row>
    <row r="9" spans="1:19" x14ac:dyDescent="0.25">
      <c r="A9" s="881">
        <v>5112</v>
      </c>
      <c r="B9" s="63" t="s">
        <v>159</v>
      </c>
      <c r="C9" s="130">
        <v>4545.67</v>
      </c>
      <c r="D9" s="13">
        <f>63.11+5644.1</f>
        <v>5707.21</v>
      </c>
      <c r="E9" s="13">
        <v>17794.28</v>
      </c>
      <c r="F9" s="13">
        <v>14174.24</v>
      </c>
      <c r="G9" s="13">
        <v>9439.34</v>
      </c>
      <c r="H9" s="13">
        <v>11085.96</v>
      </c>
      <c r="I9" s="13">
        <v>12666.61</v>
      </c>
      <c r="J9" s="13">
        <v>2065.6999999999998</v>
      </c>
      <c r="K9" s="14">
        <v>21300</v>
      </c>
      <c r="L9" s="13">
        <v>1336.32</v>
      </c>
      <c r="M9" s="14">
        <v>21300</v>
      </c>
      <c r="N9" s="13"/>
      <c r="O9" s="14">
        <v>21300</v>
      </c>
      <c r="P9" s="14"/>
    </row>
    <row r="10" spans="1:19" x14ac:dyDescent="0.25">
      <c r="A10" s="881">
        <v>5132</v>
      </c>
      <c r="B10" s="63" t="s">
        <v>191</v>
      </c>
      <c r="C10" s="130">
        <v>1961.27</v>
      </c>
      <c r="D10" s="13">
        <f>1.68+2428.95</f>
        <v>2430.6299999999997</v>
      </c>
      <c r="E10" s="13">
        <v>1931.5</v>
      </c>
      <c r="F10" s="13">
        <v>855.54</v>
      </c>
      <c r="G10" s="13">
        <v>1837.89</v>
      </c>
      <c r="H10" s="13">
        <v>2301.96</v>
      </c>
      <c r="I10" s="13">
        <v>6062.31</v>
      </c>
      <c r="J10" s="13">
        <v>1525.21</v>
      </c>
      <c r="K10" s="14">
        <v>2500</v>
      </c>
      <c r="L10" s="13">
        <v>12365.81</v>
      </c>
      <c r="M10" s="14">
        <v>2500</v>
      </c>
      <c r="N10" s="13">
        <v>6929.26</v>
      </c>
      <c r="O10" s="14">
        <v>2500</v>
      </c>
      <c r="P10" s="14"/>
    </row>
    <row r="11" spans="1:19" ht="13.8" thickBot="1" x14ac:dyDescent="0.3">
      <c r="A11" s="881">
        <v>5142</v>
      </c>
      <c r="B11" s="63" t="s">
        <v>164</v>
      </c>
      <c r="C11" s="709">
        <v>862.96</v>
      </c>
      <c r="D11" s="30">
        <f>2.9+312.47</f>
        <v>315.37</v>
      </c>
      <c r="E11" s="30">
        <v>548.44000000000005</v>
      </c>
      <c r="F11" s="30">
        <v>715.7</v>
      </c>
      <c r="G11" s="30">
        <v>802.76</v>
      </c>
      <c r="H11" s="30">
        <v>433.84</v>
      </c>
      <c r="I11" s="30">
        <v>541.12</v>
      </c>
      <c r="J11" s="30">
        <v>43.76</v>
      </c>
      <c r="K11" s="31">
        <v>1000</v>
      </c>
      <c r="L11" s="30">
        <v>594.45000000000005</v>
      </c>
      <c r="M11" s="31">
        <v>1000</v>
      </c>
      <c r="N11" s="30">
        <v>112.5</v>
      </c>
      <c r="O11" s="31">
        <v>1000</v>
      </c>
      <c r="P11" s="31"/>
    </row>
    <row r="12" spans="1:19" x14ac:dyDescent="0.25">
      <c r="A12" s="881"/>
      <c r="B12" s="64" t="s">
        <v>130</v>
      </c>
      <c r="C12" s="710">
        <f t="shared" ref="C12:N12" si="0">SUM(C9:C11)</f>
        <v>7369.9000000000005</v>
      </c>
      <c r="D12" s="32">
        <f t="shared" si="0"/>
        <v>8453.2100000000009</v>
      </c>
      <c r="E12" s="32">
        <f t="shared" si="0"/>
        <v>20274.219999999998</v>
      </c>
      <c r="F12" s="32">
        <f t="shared" ref="F12:L12" si="1">SUM(F9:F11)</f>
        <v>15745.48</v>
      </c>
      <c r="G12" s="32">
        <f t="shared" si="1"/>
        <v>12079.99</v>
      </c>
      <c r="H12" s="32">
        <f t="shared" si="1"/>
        <v>13821.759999999998</v>
      </c>
      <c r="I12" s="32">
        <f t="shared" si="1"/>
        <v>19270.04</v>
      </c>
      <c r="J12" s="32">
        <f t="shared" si="1"/>
        <v>3634.67</v>
      </c>
      <c r="K12" s="33">
        <f t="shared" si="1"/>
        <v>24800</v>
      </c>
      <c r="L12" s="32">
        <f t="shared" si="1"/>
        <v>14296.58</v>
      </c>
      <c r="M12" s="33">
        <f>SUM(M9:M11)</f>
        <v>24800</v>
      </c>
      <c r="N12" s="32">
        <f t="shared" si="0"/>
        <v>7041.76</v>
      </c>
      <c r="O12" s="33">
        <f>SUM(O9:O11)</f>
        <v>24800</v>
      </c>
      <c r="P12" s="33">
        <f>+O12</f>
        <v>24800</v>
      </c>
    </row>
    <row r="13" spans="1:19" x14ac:dyDescent="0.25">
      <c r="A13" s="881"/>
      <c r="B13" s="63"/>
      <c r="C13" s="130"/>
      <c r="D13" s="13"/>
      <c r="E13" s="13"/>
      <c r="F13" s="13"/>
      <c r="G13" s="13"/>
      <c r="H13" s="13"/>
      <c r="I13" s="13"/>
      <c r="J13" s="13"/>
      <c r="K13" s="14"/>
      <c r="L13" s="13"/>
      <c r="M13" s="14"/>
      <c r="N13" s="13"/>
      <c r="O13" s="14"/>
      <c r="P13" s="14"/>
    </row>
    <row r="14" spans="1:19" x14ac:dyDescent="0.25">
      <c r="A14" s="881">
        <v>5249</v>
      </c>
      <c r="B14" s="63" t="s">
        <v>253</v>
      </c>
      <c r="C14" s="130">
        <v>400</v>
      </c>
      <c r="D14" s="13">
        <v>0</v>
      </c>
      <c r="E14" s="13">
        <v>16295.59</v>
      </c>
      <c r="F14" s="13"/>
      <c r="G14" s="13"/>
      <c r="H14" s="13"/>
      <c r="I14" s="13">
        <v>0</v>
      </c>
      <c r="J14" s="13"/>
      <c r="K14" s="14">
        <v>1000</v>
      </c>
      <c r="L14" s="13"/>
      <c r="M14" s="14">
        <v>1000</v>
      </c>
      <c r="N14" s="13"/>
      <c r="O14" s="14">
        <v>1000</v>
      </c>
      <c r="P14" s="14"/>
    </row>
    <row r="15" spans="1:19" x14ac:dyDescent="0.25">
      <c r="A15" s="881">
        <v>5252</v>
      </c>
      <c r="B15" s="63" t="s">
        <v>254</v>
      </c>
      <c r="C15" s="130">
        <v>6272.16</v>
      </c>
      <c r="D15" s="13">
        <v>160.99</v>
      </c>
      <c r="E15" s="13">
        <v>1050</v>
      </c>
      <c r="F15" s="13">
        <v>592.44000000000005</v>
      </c>
      <c r="G15" s="13"/>
      <c r="H15" s="13"/>
      <c r="I15" s="13">
        <v>0</v>
      </c>
      <c r="J15" s="13">
        <v>1140</v>
      </c>
      <c r="K15" s="14">
        <v>4500</v>
      </c>
      <c r="L15" s="13">
        <v>2650</v>
      </c>
      <c r="M15" s="14">
        <v>4500</v>
      </c>
      <c r="N15" s="13"/>
      <c r="O15" s="14">
        <v>4500</v>
      </c>
      <c r="P15" s="14"/>
    </row>
    <row r="16" spans="1:19" x14ac:dyDescent="0.25">
      <c r="A16" s="881">
        <v>5271</v>
      </c>
      <c r="B16" s="63" t="s">
        <v>255</v>
      </c>
      <c r="C16" s="130">
        <v>100</v>
      </c>
      <c r="D16" s="13">
        <v>100</v>
      </c>
      <c r="E16" s="13"/>
      <c r="F16" s="13">
        <v>100</v>
      </c>
      <c r="G16" s="13">
        <v>100</v>
      </c>
      <c r="H16" s="13">
        <v>100</v>
      </c>
      <c r="I16" s="13">
        <v>100</v>
      </c>
      <c r="J16" s="13">
        <v>1350</v>
      </c>
      <c r="K16" s="14">
        <v>500</v>
      </c>
      <c r="L16" s="13">
        <v>300</v>
      </c>
      <c r="M16" s="14">
        <v>500</v>
      </c>
      <c r="N16" s="13">
        <v>100</v>
      </c>
      <c r="O16" s="14">
        <v>500</v>
      </c>
      <c r="P16" s="14"/>
    </row>
    <row r="17" spans="1:19" x14ac:dyDescent="0.25">
      <c r="A17" s="881">
        <v>5277</v>
      </c>
      <c r="B17" s="63" t="s">
        <v>206</v>
      </c>
      <c r="C17" s="130"/>
      <c r="D17" s="13">
        <v>0</v>
      </c>
      <c r="E17" s="13"/>
      <c r="F17" s="13"/>
      <c r="G17" s="13"/>
      <c r="H17" s="13"/>
      <c r="I17" s="13">
        <v>0</v>
      </c>
      <c r="J17" s="13"/>
      <c r="K17" s="14">
        <v>1000</v>
      </c>
      <c r="L17" s="13"/>
      <c r="M17" s="14">
        <v>1000</v>
      </c>
      <c r="N17" s="13"/>
      <c r="O17" s="14">
        <v>1000</v>
      </c>
      <c r="P17" s="14"/>
    </row>
    <row r="18" spans="1:19" x14ac:dyDescent="0.25">
      <c r="A18" s="881">
        <v>5283</v>
      </c>
      <c r="B18" s="63" t="s">
        <v>135</v>
      </c>
      <c r="C18" s="130">
        <v>386.2</v>
      </c>
      <c r="D18" s="13">
        <v>0</v>
      </c>
      <c r="E18" s="13"/>
      <c r="F18" s="13"/>
      <c r="G18" s="13"/>
      <c r="H18" s="13"/>
      <c r="I18" s="13">
        <v>0</v>
      </c>
      <c r="J18" s="13"/>
      <c r="K18" s="14">
        <v>1000</v>
      </c>
      <c r="L18" s="13">
        <v>1012.5</v>
      </c>
      <c r="M18" s="14">
        <v>1000</v>
      </c>
      <c r="N18" s="13"/>
      <c r="O18" s="14">
        <v>1000</v>
      </c>
      <c r="P18" s="14"/>
    </row>
    <row r="19" spans="1:19" x14ac:dyDescent="0.25">
      <c r="A19" s="881">
        <v>5303</v>
      </c>
      <c r="B19" s="12" t="s">
        <v>252</v>
      </c>
      <c r="C19" s="13"/>
      <c r="D19" s="13">
        <v>0</v>
      </c>
      <c r="E19" s="13"/>
      <c r="F19" s="13"/>
      <c r="G19" s="13"/>
      <c r="H19" s="13"/>
      <c r="I19" s="13">
        <v>0</v>
      </c>
      <c r="J19" s="13"/>
      <c r="K19" s="14">
        <v>300</v>
      </c>
      <c r="L19" s="13"/>
      <c r="M19" s="14">
        <v>300</v>
      </c>
      <c r="N19" s="13"/>
      <c r="O19" s="14">
        <v>300</v>
      </c>
      <c r="P19" s="14"/>
    </row>
    <row r="20" spans="1:19" x14ac:dyDescent="0.25">
      <c r="A20" s="881">
        <v>5443</v>
      </c>
      <c r="B20" s="12" t="s">
        <v>256</v>
      </c>
      <c r="C20" s="18">
        <v>7655.99</v>
      </c>
      <c r="D20" s="18">
        <v>8625.1200000000008</v>
      </c>
      <c r="E20" s="18">
        <v>2764.54</v>
      </c>
      <c r="F20" s="18">
        <v>30514.94</v>
      </c>
      <c r="G20" s="18">
        <v>6447.4</v>
      </c>
      <c r="H20" s="18">
        <v>5197.7</v>
      </c>
      <c r="I20" s="18">
        <v>7617.74</v>
      </c>
      <c r="J20" s="18">
        <v>5181.97</v>
      </c>
      <c r="K20" s="19">
        <v>5000</v>
      </c>
      <c r="L20" s="18">
        <v>8824.2999999999993</v>
      </c>
      <c r="M20" s="19">
        <v>5000</v>
      </c>
      <c r="N20" s="18">
        <v>2120.98</v>
      </c>
      <c r="O20" s="19">
        <v>5000</v>
      </c>
      <c r="P20" s="19"/>
    </row>
    <row r="21" spans="1:19" ht="13.8" thickBot="1" x14ac:dyDescent="0.3">
      <c r="A21" s="881">
        <v>5530</v>
      </c>
      <c r="B21" s="12" t="s">
        <v>209</v>
      </c>
      <c r="C21" s="15">
        <v>210.4</v>
      </c>
      <c r="D21" s="15">
        <v>0</v>
      </c>
      <c r="E21" s="15">
        <v>1294.25</v>
      </c>
      <c r="F21" s="15"/>
      <c r="G21" s="15">
        <v>978.6</v>
      </c>
      <c r="H21" s="15">
        <v>38.25</v>
      </c>
      <c r="I21" s="15">
        <v>0</v>
      </c>
      <c r="J21" s="15"/>
      <c r="K21" s="16">
        <v>4700</v>
      </c>
      <c r="L21" s="15"/>
      <c r="M21" s="16">
        <v>4700</v>
      </c>
      <c r="N21" s="15"/>
      <c r="O21" s="16">
        <v>4700</v>
      </c>
      <c r="P21" s="16"/>
    </row>
    <row r="22" spans="1:19" x14ac:dyDescent="0.25">
      <c r="A22" s="881"/>
      <c r="B22" s="64" t="s">
        <v>449</v>
      </c>
      <c r="C22" s="32">
        <f t="shared" ref="C22:N22" si="2">SUM(C14:C21)</f>
        <v>15024.749999999998</v>
      </c>
      <c r="D22" s="32">
        <f t="shared" si="2"/>
        <v>8886.11</v>
      </c>
      <c r="E22" s="32">
        <f t="shared" si="2"/>
        <v>21404.38</v>
      </c>
      <c r="F22" s="32">
        <f t="shared" ref="F22:K22" si="3">SUM(F14:F21)</f>
        <v>31207.379999999997</v>
      </c>
      <c r="G22" s="32">
        <f t="shared" si="3"/>
        <v>7526</v>
      </c>
      <c r="H22" s="32">
        <f t="shared" si="3"/>
        <v>5335.95</v>
      </c>
      <c r="I22" s="32">
        <f t="shared" si="3"/>
        <v>7717.74</v>
      </c>
      <c r="J22" s="32">
        <f t="shared" si="3"/>
        <v>7671.97</v>
      </c>
      <c r="K22" s="33">
        <f t="shared" si="3"/>
        <v>18000</v>
      </c>
      <c r="L22" s="32">
        <f t="shared" ref="L22:M22" si="4">SUM(L14:L21)</f>
        <v>12786.8</v>
      </c>
      <c r="M22" s="33">
        <f t="shared" si="4"/>
        <v>18000</v>
      </c>
      <c r="N22" s="117">
        <f t="shared" si="2"/>
        <v>2220.98</v>
      </c>
      <c r="O22" s="33">
        <f>SUM(O14:O21)</f>
        <v>18000</v>
      </c>
      <c r="P22" s="33">
        <f>+O22</f>
        <v>18000</v>
      </c>
    </row>
    <row r="23" spans="1:19" x14ac:dyDescent="0.25">
      <c r="A23" s="881"/>
      <c r="B23" s="64"/>
      <c r="C23" s="18"/>
      <c r="D23" s="18"/>
      <c r="E23" s="18"/>
      <c r="F23" s="18"/>
      <c r="G23" s="18"/>
      <c r="H23" s="18"/>
      <c r="I23" s="18"/>
      <c r="J23" s="18"/>
      <c r="K23" s="19"/>
      <c r="L23" s="18"/>
      <c r="M23" s="19"/>
      <c r="N23" s="117"/>
      <c r="O23" s="19"/>
      <c r="P23" s="19"/>
    </row>
    <row r="24" spans="1:19" ht="13.8" thickBot="1" x14ac:dyDescent="0.3">
      <c r="A24" s="881">
        <v>5800</v>
      </c>
      <c r="B24" s="63" t="s">
        <v>276</v>
      </c>
      <c r="C24" s="15">
        <v>2116.23</v>
      </c>
      <c r="D24" s="15">
        <v>0</v>
      </c>
      <c r="E24" s="15">
        <v>0</v>
      </c>
      <c r="F24" s="15">
        <v>6467.28</v>
      </c>
      <c r="G24" s="15"/>
      <c r="H24" s="15"/>
      <c r="I24" s="15">
        <v>0</v>
      </c>
      <c r="J24" s="15">
        <v>0</v>
      </c>
      <c r="K24" s="16">
        <v>8000</v>
      </c>
      <c r="L24" s="15"/>
      <c r="M24" s="16">
        <v>8000</v>
      </c>
      <c r="N24" s="172"/>
      <c r="O24" s="16">
        <v>8000</v>
      </c>
      <c r="P24" s="16"/>
    </row>
    <row r="25" spans="1:19" x14ac:dyDescent="0.25">
      <c r="A25" s="881"/>
      <c r="B25" s="64" t="s">
        <v>136</v>
      </c>
      <c r="C25" s="18">
        <f t="shared" ref="C25:O25" si="5">+C24</f>
        <v>2116.23</v>
      </c>
      <c r="D25" s="18">
        <f t="shared" si="5"/>
        <v>0</v>
      </c>
      <c r="E25" s="18">
        <f t="shared" si="5"/>
        <v>0</v>
      </c>
      <c r="F25" s="18">
        <f>+F24</f>
        <v>6467.28</v>
      </c>
      <c r="G25" s="18">
        <f>+G24</f>
        <v>0</v>
      </c>
      <c r="H25" s="18">
        <f>+H24</f>
        <v>0</v>
      </c>
      <c r="I25" s="18">
        <f>+I24</f>
        <v>0</v>
      </c>
      <c r="J25" s="18">
        <f>+J24</f>
        <v>0</v>
      </c>
      <c r="K25" s="19">
        <f t="shared" ref="K25:M25" si="6">+K24</f>
        <v>8000</v>
      </c>
      <c r="L25" s="18">
        <f t="shared" si="6"/>
        <v>0</v>
      </c>
      <c r="M25" s="19">
        <f t="shared" si="6"/>
        <v>8000</v>
      </c>
      <c r="N25" s="145">
        <f t="shared" si="5"/>
        <v>0</v>
      </c>
      <c r="O25" s="19">
        <f t="shared" si="5"/>
        <v>8000</v>
      </c>
      <c r="P25" s="19">
        <f>+O25</f>
        <v>8000</v>
      </c>
    </row>
    <row r="26" spans="1:19" x14ac:dyDescent="0.25">
      <c r="A26" s="881"/>
      <c r="B26" s="63"/>
      <c r="C26" s="13"/>
      <c r="D26" s="13"/>
      <c r="E26" s="13"/>
      <c r="F26" s="13"/>
      <c r="G26" s="13"/>
      <c r="H26" s="13"/>
      <c r="I26" s="13"/>
      <c r="J26" s="13"/>
      <c r="K26" s="14"/>
      <c r="L26" s="13"/>
      <c r="M26" s="14"/>
      <c r="N26" s="13"/>
      <c r="O26" s="14"/>
      <c r="P26" s="14"/>
    </row>
    <row r="27" spans="1:19" ht="13.8" thickBot="1" x14ac:dyDescent="0.3">
      <c r="A27" s="882"/>
      <c r="B27" s="20" t="s">
        <v>467</v>
      </c>
      <c r="C27" s="21">
        <f t="shared" ref="C27:P27" si="7">+C22+C12+C25</f>
        <v>24510.879999999997</v>
      </c>
      <c r="D27" s="21">
        <f t="shared" si="7"/>
        <v>17339.32</v>
      </c>
      <c r="E27" s="21">
        <f t="shared" si="7"/>
        <v>41678.6</v>
      </c>
      <c r="F27" s="21">
        <f>+F25+F22+F12</f>
        <v>53420.14</v>
      </c>
      <c r="G27" s="21">
        <f>+G25+G22+G12</f>
        <v>19605.989999999998</v>
      </c>
      <c r="H27" s="21">
        <f>+H25+H22+H12</f>
        <v>19157.71</v>
      </c>
      <c r="I27" s="21">
        <f>+I22+I12+I25</f>
        <v>26987.78</v>
      </c>
      <c r="J27" s="21">
        <f>+J22+J12+J25</f>
        <v>11306.64</v>
      </c>
      <c r="K27" s="22">
        <f t="shared" ref="K27:M27" si="8">+K22+K12+K25</f>
        <v>50800</v>
      </c>
      <c r="L27" s="21">
        <f t="shared" si="8"/>
        <v>27083.379999999997</v>
      </c>
      <c r="M27" s="22">
        <f t="shared" si="8"/>
        <v>50800</v>
      </c>
      <c r="N27" s="21">
        <f t="shared" si="7"/>
        <v>9262.74</v>
      </c>
      <c r="O27" s="22">
        <f t="shared" si="7"/>
        <v>50800</v>
      </c>
      <c r="P27" s="22">
        <f t="shared" si="7"/>
        <v>50800</v>
      </c>
    </row>
    <row r="28" spans="1:19" ht="13.8" thickTop="1" x14ac:dyDescent="0.25">
      <c r="A28" s="876"/>
      <c r="B28" s="4"/>
      <c r="C28" s="23"/>
      <c r="D28" s="23"/>
      <c r="E28" s="23"/>
      <c r="F28" s="23"/>
      <c r="G28" s="23"/>
      <c r="H28" s="23"/>
      <c r="I28" s="23"/>
      <c r="J28" s="23"/>
      <c r="K28" s="23"/>
      <c r="L28" s="23"/>
      <c r="M28" s="23"/>
      <c r="N28" s="27"/>
      <c r="O28" s="23"/>
      <c r="P28" s="23"/>
      <c r="Q28" s="27"/>
      <c r="R28" s="27"/>
      <c r="S28" s="27"/>
    </row>
    <row r="29" spans="1:19" x14ac:dyDescent="0.25">
      <c r="A29" s="876"/>
      <c r="B29" s="4"/>
      <c r="C29" s="23"/>
      <c r="D29" s="23"/>
      <c r="E29" s="23"/>
      <c r="F29" s="23"/>
      <c r="G29" s="23"/>
      <c r="H29" s="23"/>
      <c r="I29" s="23"/>
      <c r="J29" s="23"/>
      <c r="K29" s="23"/>
      <c r="L29" s="23"/>
      <c r="M29" s="23"/>
      <c r="N29" s="27"/>
      <c r="O29" s="23"/>
      <c r="P29" s="27"/>
      <c r="Q29" s="27"/>
      <c r="R29" s="27"/>
      <c r="S29" s="27"/>
    </row>
    <row r="30" spans="1:19" ht="13.8" thickBot="1" x14ac:dyDescent="0.3">
      <c r="C30" s="23"/>
      <c r="D30" s="23"/>
      <c r="E30" s="23"/>
      <c r="G30" s="79"/>
      <c r="H30" s="23"/>
      <c r="I30" s="23"/>
      <c r="J30" s="23"/>
      <c r="K30" s="23"/>
      <c r="L30" s="23"/>
      <c r="M30" s="23"/>
      <c r="N30" s="27"/>
      <c r="O30" s="23"/>
      <c r="P30" s="23"/>
      <c r="Q30" s="27"/>
      <c r="R30" s="27"/>
      <c r="S30" s="27"/>
    </row>
    <row r="31" spans="1:19" ht="13.8" thickTop="1" x14ac:dyDescent="0.25">
      <c r="A31" s="893"/>
      <c r="B31" s="452"/>
      <c r="C31" s="453" t="s">
        <v>127</v>
      </c>
      <c r="D31" s="454" t="s">
        <v>127</v>
      </c>
      <c r="E31" s="454" t="s">
        <v>127</v>
      </c>
      <c r="K31" s="455" t="s">
        <v>547</v>
      </c>
      <c r="L31" s="456" t="s">
        <v>9</v>
      </c>
      <c r="M31" s="457" t="s">
        <v>1073</v>
      </c>
      <c r="N31" s="456" t="s">
        <v>686</v>
      </c>
      <c r="O31" s="458"/>
      <c r="P31" s="457"/>
      <c r="Q31" s="27"/>
      <c r="R31" s="27"/>
      <c r="S31" s="27"/>
    </row>
    <row r="32" spans="1:19" ht="13.8" thickBot="1" x14ac:dyDescent="0.3">
      <c r="A32" s="894" t="s">
        <v>128</v>
      </c>
      <c r="B32" s="459"/>
      <c r="C32" s="460" t="s">
        <v>347</v>
      </c>
      <c r="D32" s="460" t="s">
        <v>722</v>
      </c>
      <c r="E32" s="461" t="s">
        <v>737</v>
      </c>
      <c r="K32" s="462" t="s">
        <v>909</v>
      </c>
      <c r="L32" s="462" t="s">
        <v>910</v>
      </c>
      <c r="M32" s="461" t="s">
        <v>1075</v>
      </c>
      <c r="N32" s="463" t="s">
        <v>1075</v>
      </c>
      <c r="O32" s="464" t="s">
        <v>1074</v>
      </c>
      <c r="P32" s="462"/>
      <c r="Q32" s="27"/>
      <c r="R32" s="27"/>
      <c r="S32" s="27"/>
    </row>
    <row r="33" spans="1:19" ht="13.8" thickTop="1" x14ac:dyDescent="0.25">
      <c r="A33" s="910"/>
      <c r="B33" s="480"/>
      <c r="C33" s="468"/>
      <c r="D33" s="468"/>
      <c r="E33" s="468"/>
      <c r="K33" s="469"/>
      <c r="L33" s="468"/>
      <c r="M33" s="469"/>
      <c r="N33" s="468"/>
      <c r="O33" s="533"/>
      <c r="P33" s="534"/>
      <c r="Q33" s="27"/>
      <c r="R33" s="27"/>
      <c r="S33" s="27"/>
    </row>
    <row r="34" spans="1:19" x14ac:dyDescent="0.25">
      <c r="A34" s="907">
        <v>5112</v>
      </c>
      <c r="B34" s="472" t="s">
        <v>159</v>
      </c>
      <c r="C34" s="476">
        <v>4545.67</v>
      </c>
      <c r="D34" s="476">
        <f>63.11+5644.1</f>
        <v>5707.21</v>
      </c>
      <c r="E34" s="476">
        <v>17794.28</v>
      </c>
      <c r="K34" s="475">
        <f>+M9</f>
        <v>21300</v>
      </c>
      <c r="L34" s="476">
        <f>+O9</f>
        <v>21300</v>
      </c>
      <c r="M34" s="475">
        <f t="shared" ref="M34:M46" si="9">+L34-K34</f>
        <v>0</v>
      </c>
      <c r="N34" s="477" t="str">
        <f t="shared" ref="N34:N46" si="10">IF(K34+L34&lt;&gt;0,IF(K34&lt;&gt;0,IF(M34&lt;&gt;0,ROUND((+M34/K34),4),""),1),"")</f>
        <v/>
      </c>
      <c r="O34" s="470"/>
      <c r="P34" s="471"/>
      <c r="Q34" s="27"/>
      <c r="R34" s="27"/>
      <c r="S34" s="27"/>
    </row>
    <row r="35" spans="1:19" x14ac:dyDescent="0.25">
      <c r="A35" s="907">
        <v>5132</v>
      </c>
      <c r="B35" s="472" t="s">
        <v>191</v>
      </c>
      <c r="C35" s="476">
        <v>1961.27</v>
      </c>
      <c r="D35" s="476">
        <f>1.68+2428.95</f>
        <v>2430.6299999999997</v>
      </c>
      <c r="E35" s="476">
        <v>1931.5</v>
      </c>
      <c r="K35" s="475">
        <f>+M10</f>
        <v>2500</v>
      </c>
      <c r="L35" s="476">
        <f>+O10</f>
        <v>2500</v>
      </c>
      <c r="M35" s="475">
        <f t="shared" si="9"/>
        <v>0</v>
      </c>
      <c r="N35" s="477" t="str">
        <f t="shared" si="10"/>
        <v/>
      </c>
      <c r="O35" s="535"/>
      <c r="P35" s="500"/>
      <c r="Q35" s="27"/>
      <c r="R35" s="27"/>
      <c r="S35" s="27"/>
    </row>
    <row r="36" spans="1:19" x14ac:dyDescent="0.25">
      <c r="A36" s="907">
        <v>5142</v>
      </c>
      <c r="B36" s="472" t="s">
        <v>164</v>
      </c>
      <c r="C36" s="481">
        <v>862.96</v>
      </c>
      <c r="D36" s="481">
        <f>2.9+312.47</f>
        <v>315.37</v>
      </c>
      <c r="E36" s="481">
        <v>548.44000000000005</v>
      </c>
      <c r="K36" s="475">
        <f>+M11</f>
        <v>1000</v>
      </c>
      <c r="L36" s="476">
        <f>+O11</f>
        <v>1000</v>
      </c>
      <c r="M36" s="475">
        <f t="shared" si="9"/>
        <v>0</v>
      </c>
      <c r="N36" s="477" t="str">
        <f t="shared" si="10"/>
        <v/>
      </c>
      <c r="O36" s="483"/>
      <c r="P36" s="500"/>
      <c r="Q36" s="27"/>
      <c r="R36" s="27"/>
      <c r="S36" s="27"/>
    </row>
    <row r="37" spans="1:19" x14ac:dyDescent="0.25">
      <c r="A37" s="907">
        <v>5249</v>
      </c>
      <c r="B37" s="472" t="s">
        <v>253</v>
      </c>
      <c r="C37" s="476">
        <v>400</v>
      </c>
      <c r="D37" s="476">
        <v>0</v>
      </c>
      <c r="E37" s="476">
        <v>16295.59</v>
      </c>
      <c r="K37" s="475">
        <f t="shared" ref="K37:K44" si="11">+M14</f>
        <v>1000</v>
      </c>
      <c r="L37" s="468">
        <f t="shared" ref="L37:L44" si="12">+O14</f>
        <v>1000</v>
      </c>
      <c r="M37" s="475">
        <f t="shared" si="9"/>
        <v>0</v>
      </c>
      <c r="N37" s="477" t="str">
        <f t="shared" si="10"/>
        <v/>
      </c>
      <c r="O37" s="470"/>
      <c r="P37" s="471"/>
      <c r="Q37" s="27"/>
      <c r="R37" s="27"/>
      <c r="S37" s="27"/>
    </row>
    <row r="38" spans="1:19" x14ac:dyDescent="0.25">
      <c r="A38" s="907">
        <v>5252</v>
      </c>
      <c r="B38" s="472" t="s">
        <v>254</v>
      </c>
      <c r="C38" s="476">
        <v>6272.16</v>
      </c>
      <c r="D38" s="476">
        <v>160.99</v>
      </c>
      <c r="E38" s="476">
        <v>1050</v>
      </c>
      <c r="K38" s="475">
        <f t="shared" si="11"/>
        <v>4500</v>
      </c>
      <c r="L38" s="476">
        <f t="shared" si="12"/>
        <v>4500</v>
      </c>
      <c r="M38" s="475">
        <f t="shared" si="9"/>
        <v>0</v>
      </c>
      <c r="N38" s="477" t="str">
        <f t="shared" si="10"/>
        <v/>
      </c>
      <c r="O38" s="470"/>
      <c r="P38" s="471"/>
      <c r="Q38" s="27"/>
      <c r="R38" s="27"/>
      <c r="S38" s="27"/>
    </row>
    <row r="39" spans="1:19" x14ac:dyDescent="0.25">
      <c r="A39" s="907">
        <v>5271</v>
      </c>
      <c r="B39" s="472" t="s">
        <v>255</v>
      </c>
      <c r="C39" s="476">
        <v>100</v>
      </c>
      <c r="D39" s="476">
        <v>100</v>
      </c>
      <c r="E39" s="476"/>
      <c r="K39" s="475">
        <f t="shared" si="11"/>
        <v>500</v>
      </c>
      <c r="L39" s="476">
        <f t="shared" si="12"/>
        <v>500</v>
      </c>
      <c r="M39" s="475">
        <f t="shared" si="9"/>
        <v>0</v>
      </c>
      <c r="N39" s="477" t="str">
        <f t="shared" si="10"/>
        <v/>
      </c>
      <c r="O39" s="483"/>
      <c r="P39" s="500"/>
      <c r="Q39" s="27"/>
      <c r="R39" s="27"/>
      <c r="S39" s="27"/>
    </row>
    <row r="40" spans="1:19" x14ac:dyDescent="0.25">
      <c r="A40" s="907">
        <v>5277</v>
      </c>
      <c r="B40" s="472" t="s">
        <v>206</v>
      </c>
      <c r="C40" s="476"/>
      <c r="D40" s="476">
        <v>0</v>
      </c>
      <c r="E40" s="476"/>
      <c r="K40" s="475">
        <f t="shared" si="11"/>
        <v>1000</v>
      </c>
      <c r="L40" s="476">
        <f t="shared" si="12"/>
        <v>1000</v>
      </c>
      <c r="M40" s="475">
        <f t="shared" si="9"/>
        <v>0</v>
      </c>
      <c r="N40" s="477" t="str">
        <f t="shared" si="10"/>
        <v/>
      </c>
      <c r="O40" s="483"/>
      <c r="P40" s="500"/>
      <c r="Q40" s="27"/>
      <c r="R40" s="27"/>
      <c r="S40" s="27"/>
    </row>
    <row r="41" spans="1:19" x14ac:dyDescent="0.25">
      <c r="A41" s="907">
        <v>5283</v>
      </c>
      <c r="B41" s="472" t="s">
        <v>135</v>
      </c>
      <c r="C41" s="476">
        <v>386.2</v>
      </c>
      <c r="D41" s="476">
        <v>0</v>
      </c>
      <c r="E41" s="476"/>
      <c r="K41" s="475">
        <f t="shared" si="11"/>
        <v>1000</v>
      </c>
      <c r="L41" s="476">
        <f t="shared" si="12"/>
        <v>1000</v>
      </c>
      <c r="M41" s="475">
        <f t="shared" si="9"/>
        <v>0</v>
      </c>
      <c r="N41" s="477" t="str">
        <f t="shared" si="10"/>
        <v/>
      </c>
      <c r="O41" s="483"/>
      <c r="P41" s="500"/>
      <c r="Q41" s="27"/>
      <c r="R41" s="27"/>
      <c r="S41" s="27"/>
    </row>
    <row r="42" spans="1:19" x14ac:dyDescent="0.25">
      <c r="A42" s="907">
        <v>5303</v>
      </c>
      <c r="B42" s="472" t="s">
        <v>252</v>
      </c>
      <c r="C42" s="476"/>
      <c r="D42" s="476">
        <v>0</v>
      </c>
      <c r="E42" s="476"/>
      <c r="K42" s="475">
        <f t="shared" si="11"/>
        <v>300</v>
      </c>
      <c r="L42" s="476">
        <f t="shared" si="12"/>
        <v>300</v>
      </c>
      <c r="M42" s="475">
        <f t="shared" si="9"/>
        <v>0</v>
      </c>
      <c r="N42" s="477" t="str">
        <f t="shared" si="10"/>
        <v/>
      </c>
      <c r="O42" s="483"/>
      <c r="P42" s="500"/>
      <c r="Q42" s="27"/>
      <c r="R42" s="27"/>
      <c r="S42" s="27"/>
    </row>
    <row r="43" spans="1:19" x14ac:dyDescent="0.25">
      <c r="A43" s="907">
        <v>5443</v>
      </c>
      <c r="B43" s="472" t="s">
        <v>256</v>
      </c>
      <c r="C43" s="468">
        <v>7655.99</v>
      </c>
      <c r="D43" s="468">
        <v>8625.1200000000008</v>
      </c>
      <c r="E43" s="468">
        <v>2764.54</v>
      </c>
      <c r="K43" s="475">
        <f t="shared" si="11"/>
        <v>5000</v>
      </c>
      <c r="L43" s="476">
        <f t="shared" si="12"/>
        <v>5000</v>
      </c>
      <c r="M43" s="475">
        <f t="shared" si="9"/>
        <v>0</v>
      </c>
      <c r="N43" s="477" t="str">
        <f t="shared" si="10"/>
        <v/>
      </c>
      <c r="O43" s="483"/>
      <c r="P43" s="500"/>
      <c r="Q43" s="27"/>
      <c r="R43" s="27"/>
      <c r="S43" s="27"/>
    </row>
    <row r="44" spans="1:19" ht="13.8" thickBot="1" x14ac:dyDescent="0.3">
      <c r="A44" s="907">
        <v>5530</v>
      </c>
      <c r="B44" s="472" t="s">
        <v>209</v>
      </c>
      <c r="C44" s="474">
        <v>210.4</v>
      </c>
      <c r="D44" s="474">
        <v>0</v>
      </c>
      <c r="E44" s="474">
        <v>1294.25</v>
      </c>
      <c r="K44" s="475">
        <f t="shared" si="11"/>
        <v>4700</v>
      </c>
      <c r="L44" s="476">
        <f t="shared" si="12"/>
        <v>4700</v>
      </c>
      <c r="M44" s="475">
        <f t="shared" si="9"/>
        <v>0</v>
      </c>
      <c r="N44" s="477" t="str">
        <f t="shared" si="10"/>
        <v/>
      </c>
      <c r="O44" s="483"/>
      <c r="P44" s="500"/>
      <c r="Q44" s="27"/>
      <c r="R44" s="27"/>
      <c r="S44" s="27"/>
    </row>
    <row r="45" spans="1:19" ht="13.8" thickBot="1" x14ac:dyDescent="0.3">
      <c r="A45" s="907">
        <v>5800</v>
      </c>
      <c r="B45" s="501" t="s">
        <v>276</v>
      </c>
      <c r="C45" s="474">
        <v>2116.23</v>
      </c>
      <c r="D45" s="474">
        <v>0</v>
      </c>
      <c r="E45" s="474">
        <v>0</v>
      </c>
      <c r="K45" s="475">
        <f>+M24</f>
        <v>8000</v>
      </c>
      <c r="L45" s="476">
        <f>+O24</f>
        <v>8000</v>
      </c>
      <c r="M45" s="475">
        <f t="shared" si="9"/>
        <v>0</v>
      </c>
      <c r="N45" s="477" t="str">
        <f t="shared" si="10"/>
        <v/>
      </c>
      <c r="O45" s="483"/>
      <c r="P45" s="500"/>
      <c r="Q45" s="27"/>
      <c r="R45" s="27"/>
      <c r="S45" s="27"/>
    </row>
    <row r="46" spans="1:19" x14ac:dyDescent="0.25">
      <c r="A46" s="907"/>
      <c r="B46" s="501"/>
      <c r="C46" s="476"/>
      <c r="D46" s="476"/>
      <c r="E46" s="476"/>
      <c r="K46" s="475">
        <f>+K23</f>
        <v>0</v>
      </c>
      <c r="L46" s="468">
        <f>+O26</f>
        <v>0</v>
      </c>
      <c r="M46" s="475">
        <f t="shared" si="9"/>
        <v>0</v>
      </c>
      <c r="N46" s="477" t="str">
        <f t="shared" si="10"/>
        <v/>
      </c>
      <c r="O46" s="483"/>
      <c r="P46" s="500"/>
      <c r="Q46" s="27"/>
      <c r="R46" s="27"/>
      <c r="S46" s="27"/>
    </row>
    <row r="47" spans="1:19" x14ac:dyDescent="0.25">
      <c r="A47" s="876"/>
      <c r="B47" s="4"/>
      <c r="C47" s="23"/>
      <c r="D47" s="23"/>
      <c r="E47" s="23"/>
      <c r="F47" s="23"/>
      <c r="G47" s="23"/>
      <c r="K47" s="23"/>
      <c r="L47" s="23"/>
      <c r="M47" s="23"/>
      <c r="N47" s="27"/>
      <c r="O47" s="23"/>
      <c r="P47" s="23"/>
      <c r="Q47" s="27"/>
      <c r="R47" s="27"/>
      <c r="S47" s="27"/>
    </row>
    <row r="48" spans="1:19" x14ac:dyDescent="0.25">
      <c r="A48" s="876"/>
      <c r="B48" s="4" t="s">
        <v>1363</v>
      </c>
      <c r="C48" s="23"/>
      <c r="D48" s="23"/>
      <c r="E48" s="23"/>
      <c r="F48" s="23"/>
      <c r="G48" s="23"/>
      <c r="K48" s="742">
        <f>SUM(K33:K47)</f>
        <v>50800</v>
      </c>
      <c r="L48" s="742">
        <f>SUM(L33:L47)</f>
        <v>50800</v>
      </c>
      <c r="M48" s="202">
        <f>+L48-K48</f>
        <v>0</v>
      </c>
      <c r="N48" s="743" t="str">
        <f>IF(K48+L48&lt;&gt;0,IF(K48&lt;&gt;0,IF(M48&lt;&gt;0,ROUND((+M48/K48),4),""),1),"")</f>
        <v/>
      </c>
      <c r="O48" s="23"/>
      <c r="P48" s="23"/>
      <c r="Q48" s="27"/>
      <c r="R48" s="27"/>
      <c r="S48" s="27"/>
    </row>
    <row r="49" spans="1:19" x14ac:dyDescent="0.25">
      <c r="A49" s="876"/>
      <c r="B49" s="4"/>
      <c r="C49" s="23"/>
      <c r="D49" s="23"/>
      <c r="E49" s="23"/>
      <c r="F49" s="23"/>
      <c r="G49" s="23"/>
      <c r="I49" s="23"/>
      <c r="J49" s="23"/>
      <c r="K49" s="23"/>
      <c r="L49" s="23"/>
      <c r="M49" s="23"/>
      <c r="N49" s="27"/>
      <c r="O49" s="23"/>
      <c r="P49" s="23"/>
      <c r="Q49" s="27"/>
      <c r="R49" s="27"/>
      <c r="S49" s="27"/>
    </row>
    <row r="50" spans="1:19" x14ac:dyDescent="0.25">
      <c r="A50" s="876"/>
      <c r="B50" s="4"/>
      <c r="C50" s="23"/>
      <c r="D50" s="23"/>
      <c r="E50" s="23"/>
      <c r="F50" s="23"/>
      <c r="G50" s="23"/>
      <c r="H50" s="23"/>
      <c r="I50" s="23"/>
      <c r="J50" s="23"/>
      <c r="K50" s="23"/>
      <c r="L50" s="23"/>
      <c r="M50" s="23"/>
      <c r="N50" s="4"/>
      <c r="O50" s="23"/>
      <c r="P50" s="23"/>
      <c r="Q50" s="4"/>
      <c r="R50" s="4"/>
      <c r="S50" s="4"/>
    </row>
    <row r="51" spans="1:19" x14ac:dyDescent="0.25">
      <c r="A51" s="876"/>
      <c r="B51" s="4"/>
      <c r="C51" s="23"/>
      <c r="D51" s="23"/>
      <c r="E51" s="23"/>
      <c r="F51" s="23"/>
      <c r="G51" s="23"/>
      <c r="H51" s="23"/>
      <c r="I51" s="23"/>
      <c r="J51" s="23"/>
      <c r="K51" s="23"/>
      <c r="L51" s="23"/>
      <c r="M51" s="23"/>
      <c r="N51" s="4"/>
      <c r="O51" s="23"/>
      <c r="P51" s="23"/>
      <c r="Q51" s="4"/>
      <c r="R51" s="4"/>
      <c r="S51" s="4"/>
    </row>
    <row r="52" spans="1:19" x14ac:dyDescent="0.25">
      <c r="A52" s="876"/>
      <c r="B52" s="4"/>
      <c r="C52" s="23"/>
      <c r="D52" s="23"/>
      <c r="E52" s="23"/>
      <c r="F52" s="23"/>
      <c r="G52" s="23"/>
      <c r="H52" s="23"/>
      <c r="I52" s="23"/>
      <c r="J52" s="23"/>
      <c r="K52" s="23"/>
      <c r="L52" s="23"/>
      <c r="M52" s="23"/>
      <c r="N52" s="4"/>
      <c r="O52" s="23"/>
      <c r="P52" s="23"/>
      <c r="Q52" s="4"/>
      <c r="R52" s="4"/>
      <c r="S52" s="4"/>
    </row>
    <row r="53" spans="1:19" x14ac:dyDescent="0.25">
      <c r="A53" s="876"/>
      <c r="B53" s="4"/>
      <c r="C53" s="23"/>
      <c r="D53" s="23"/>
      <c r="E53" s="23"/>
      <c r="F53" s="23"/>
      <c r="G53" s="23"/>
      <c r="H53" s="23"/>
      <c r="I53" s="23"/>
      <c r="J53" s="23"/>
      <c r="K53" s="23"/>
      <c r="L53" s="23"/>
      <c r="M53" s="23"/>
      <c r="N53" s="4"/>
      <c r="O53" s="23"/>
      <c r="P53" s="23"/>
      <c r="Q53" s="4"/>
      <c r="R53" s="4"/>
      <c r="S53" s="4"/>
    </row>
    <row r="54" spans="1:19" x14ac:dyDescent="0.25">
      <c r="A54" s="876"/>
      <c r="B54" s="4"/>
      <c r="C54" s="23"/>
      <c r="D54" s="23"/>
      <c r="E54" s="23"/>
      <c r="F54" s="23"/>
      <c r="G54" s="23"/>
      <c r="H54" s="23"/>
      <c r="I54" s="23"/>
      <c r="J54" s="23"/>
      <c r="K54" s="23"/>
      <c r="L54" s="23"/>
      <c r="M54" s="23"/>
      <c r="N54" s="4"/>
      <c r="O54" s="23"/>
      <c r="P54" s="23"/>
      <c r="Q54" s="4"/>
      <c r="R54" s="4"/>
      <c r="S54" s="4"/>
    </row>
    <row r="55" spans="1:19" x14ac:dyDescent="0.25">
      <c r="A55" s="876"/>
      <c r="B55" s="4"/>
      <c r="C55" s="23"/>
      <c r="D55" s="23"/>
      <c r="E55" s="23"/>
      <c r="F55" s="23"/>
      <c r="G55" s="23"/>
      <c r="H55" s="23"/>
      <c r="I55" s="23"/>
      <c r="J55" s="23"/>
      <c r="K55" s="23"/>
      <c r="L55" s="23"/>
      <c r="M55" s="23"/>
      <c r="N55" s="4"/>
      <c r="O55" s="23"/>
      <c r="P55" s="23"/>
      <c r="Q55" s="4"/>
      <c r="R55" s="4"/>
      <c r="S55" s="4"/>
    </row>
    <row r="56" spans="1:19" x14ac:dyDescent="0.25">
      <c r="A56" s="876"/>
      <c r="B56" s="4"/>
      <c r="C56" s="23"/>
      <c r="D56" s="23"/>
      <c r="E56" s="23"/>
      <c r="F56" s="23"/>
      <c r="G56" s="23"/>
      <c r="H56" s="23"/>
      <c r="I56" s="23"/>
      <c r="J56" s="23"/>
      <c r="K56" s="23"/>
      <c r="L56" s="23"/>
      <c r="M56" s="23"/>
      <c r="N56" s="4"/>
      <c r="O56" s="23"/>
      <c r="P56" s="23"/>
      <c r="Q56" s="4"/>
      <c r="R56" s="4"/>
      <c r="S56" s="4"/>
    </row>
    <row r="57" spans="1:19" x14ac:dyDescent="0.25">
      <c r="A57" s="876"/>
      <c r="B57" s="4"/>
      <c r="C57" s="23"/>
      <c r="D57" s="23"/>
      <c r="E57" s="23"/>
      <c r="F57" s="23"/>
      <c r="G57" s="23"/>
      <c r="H57" s="23"/>
      <c r="I57" s="23"/>
      <c r="J57" s="23"/>
      <c r="K57" s="23"/>
      <c r="L57" s="23"/>
      <c r="M57" s="23"/>
      <c r="N57" s="4"/>
      <c r="O57" s="23"/>
      <c r="P57" s="23"/>
      <c r="Q57" s="4"/>
      <c r="R57" s="4"/>
      <c r="S57" s="4"/>
    </row>
    <row r="58" spans="1:19" x14ac:dyDescent="0.25">
      <c r="A58" s="876"/>
      <c r="B58" s="4"/>
      <c r="C58" s="23"/>
      <c r="D58" s="23"/>
      <c r="E58" s="23"/>
      <c r="F58" s="23"/>
      <c r="G58" s="23"/>
      <c r="H58" s="23"/>
      <c r="I58" s="23"/>
      <c r="J58" s="23"/>
      <c r="K58" s="23"/>
      <c r="L58" s="23"/>
      <c r="M58" s="23"/>
      <c r="N58" s="4"/>
      <c r="O58" s="23"/>
      <c r="P58" s="23"/>
      <c r="Q58" s="4"/>
      <c r="R58" s="4"/>
      <c r="S58" s="4"/>
    </row>
    <row r="59" spans="1:19" x14ac:dyDescent="0.25">
      <c r="A59" s="876"/>
      <c r="B59" s="4"/>
      <c r="C59" s="23"/>
      <c r="D59" s="23"/>
      <c r="E59" s="23"/>
      <c r="F59" s="23"/>
      <c r="G59" s="23"/>
      <c r="H59" s="23"/>
      <c r="I59" s="23"/>
      <c r="J59" s="23"/>
      <c r="K59" s="23"/>
      <c r="L59" s="23"/>
      <c r="M59" s="23"/>
      <c r="N59" s="4"/>
      <c r="O59" s="23"/>
      <c r="P59" s="23"/>
      <c r="Q59" s="4"/>
      <c r="R59" s="4"/>
      <c r="S59" s="4"/>
    </row>
    <row r="60" spans="1:19" x14ac:dyDescent="0.25">
      <c r="A60" s="876"/>
      <c r="B60" s="4"/>
      <c r="C60" s="23"/>
      <c r="D60" s="23"/>
      <c r="E60" s="23"/>
      <c r="F60" s="23"/>
      <c r="G60" s="23"/>
      <c r="H60" s="23"/>
      <c r="I60" s="23"/>
      <c r="J60" s="23"/>
      <c r="K60" s="23"/>
      <c r="L60" s="23"/>
      <c r="M60" s="23"/>
      <c r="N60" s="4"/>
      <c r="O60" s="23"/>
      <c r="P60" s="23"/>
      <c r="Q60" s="4"/>
      <c r="R60" s="4"/>
      <c r="S60" s="4"/>
    </row>
    <row r="61" spans="1:19" x14ac:dyDescent="0.25">
      <c r="A61" s="876"/>
      <c r="B61" s="4"/>
      <c r="C61" s="23"/>
      <c r="D61" s="23"/>
      <c r="E61" s="23"/>
      <c r="F61" s="23"/>
      <c r="G61" s="23"/>
      <c r="H61" s="23"/>
      <c r="I61" s="23"/>
      <c r="J61" s="23"/>
      <c r="K61" s="23"/>
      <c r="L61" s="23"/>
      <c r="M61" s="23"/>
      <c r="N61" s="4"/>
      <c r="O61" s="23"/>
      <c r="P61" s="23"/>
      <c r="Q61" s="4"/>
      <c r="R61" s="4"/>
      <c r="S61" s="4"/>
    </row>
    <row r="62" spans="1:19" x14ac:dyDescent="0.25">
      <c r="A62" s="876"/>
      <c r="B62" s="4"/>
      <c r="C62" s="23"/>
      <c r="D62" s="23"/>
      <c r="E62" s="23"/>
      <c r="F62" s="23"/>
      <c r="G62" s="23"/>
      <c r="H62" s="23"/>
      <c r="I62" s="23"/>
      <c r="J62" s="23"/>
      <c r="K62" s="23"/>
      <c r="L62" s="23"/>
      <c r="M62" s="23"/>
      <c r="N62" s="4"/>
      <c r="O62" s="23"/>
      <c r="P62" s="23"/>
      <c r="Q62" s="4"/>
      <c r="R62" s="4"/>
      <c r="S62" s="4"/>
    </row>
    <row r="63" spans="1:19" x14ac:dyDescent="0.25">
      <c r="A63" s="876"/>
      <c r="B63" s="4"/>
      <c r="C63" s="23"/>
      <c r="D63" s="23"/>
      <c r="E63" s="23"/>
      <c r="F63" s="23"/>
      <c r="G63" s="23"/>
      <c r="H63" s="23"/>
      <c r="I63" s="23"/>
      <c r="J63" s="23"/>
      <c r="K63" s="23"/>
      <c r="L63" s="23"/>
      <c r="M63" s="23"/>
      <c r="N63" s="4"/>
      <c r="O63" s="23"/>
      <c r="P63" s="23"/>
      <c r="Q63" s="4"/>
      <c r="R63" s="4"/>
      <c r="S63" s="4"/>
    </row>
    <row r="64" spans="1:19" x14ac:dyDescent="0.25">
      <c r="A64" s="876"/>
      <c r="B64" s="4"/>
      <c r="C64" s="23"/>
      <c r="D64" s="23"/>
      <c r="E64" s="23"/>
      <c r="F64" s="23"/>
      <c r="G64" s="23"/>
      <c r="H64" s="23"/>
      <c r="I64" s="23"/>
      <c r="J64" s="23"/>
      <c r="K64" s="23"/>
      <c r="L64" s="23"/>
      <c r="M64" s="23"/>
      <c r="N64" s="4"/>
      <c r="O64" s="23"/>
      <c r="P64" s="23"/>
      <c r="Q64" s="4"/>
      <c r="R64" s="4"/>
      <c r="S64" s="4"/>
    </row>
    <row r="65" spans="1:19" x14ac:dyDescent="0.25">
      <c r="A65" s="876"/>
      <c r="B65" s="4"/>
      <c r="C65" s="23"/>
      <c r="D65" s="23"/>
      <c r="E65" s="23"/>
      <c r="F65" s="23"/>
      <c r="G65" s="23"/>
      <c r="H65" s="23"/>
      <c r="I65" s="23"/>
      <c r="J65" s="23"/>
      <c r="K65" s="23"/>
      <c r="L65" s="23"/>
      <c r="M65" s="23"/>
      <c r="N65" s="4"/>
      <c r="O65" s="23"/>
      <c r="P65" s="23"/>
      <c r="Q65" s="4"/>
      <c r="R65" s="4"/>
      <c r="S65" s="4"/>
    </row>
    <row r="66" spans="1:19" x14ac:dyDescent="0.25">
      <c r="A66" s="876"/>
      <c r="B66" s="4"/>
      <c r="C66" s="23"/>
      <c r="D66" s="23"/>
      <c r="E66" s="23"/>
      <c r="F66" s="23"/>
      <c r="G66" s="23"/>
      <c r="H66" s="23"/>
      <c r="I66" s="23"/>
      <c r="J66" s="23"/>
      <c r="K66" s="23"/>
      <c r="L66" s="23"/>
      <c r="M66" s="23"/>
      <c r="N66" s="4"/>
      <c r="O66" s="23"/>
      <c r="P66" s="23"/>
      <c r="Q66" s="4"/>
      <c r="R66" s="4"/>
      <c r="S66" s="4"/>
    </row>
    <row r="67" spans="1:19" x14ac:dyDescent="0.25">
      <c r="A67" s="876"/>
      <c r="B67" s="4"/>
      <c r="C67" s="23"/>
      <c r="D67" s="23"/>
      <c r="E67" s="23"/>
      <c r="F67" s="23"/>
      <c r="G67" s="23"/>
      <c r="H67" s="23"/>
      <c r="I67" s="23"/>
      <c r="J67" s="23"/>
      <c r="K67" s="23"/>
      <c r="L67" s="23"/>
      <c r="M67" s="23"/>
      <c r="N67" s="4"/>
      <c r="O67" s="23"/>
      <c r="P67" s="23"/>
      <c r="Q67" s="4"/>
      <c r="R67" s="4"/>
      <c r="S67" s="4"/>
    </row>
    <row r="68" spans="1:19" x14ac:dyDescent="0.25">
      <c r="A68" s="876"/>
      <c r="B68" s="4"/>
      <c r="C68" s="23"/>
      <c r="D68" s="23"/>
      <c r="E68" s="23"/>
      <c r="F68" s="23"/>
      <c r="G68" s="23"/>
      <c r="H68" s="23"/>
      <c r="I68" s="23"/>
      <c r="J68" s="23"/>
      <c r="K68" s="23"/>
      <c r="L68" s="23"/>
      <c r="M68" s="23"/>
      <c r="N68" s="4"/>
      <c r="O68" s="23"/>
      <c r="P68" s="23"/>
      <c r="Q68" s="4"/>
      <c r="R68" s="4"/>
      <c r="S68" s="4"/>
    </row>
    <row r="69" spans="1:19" x14ac:dyDescent="0.25">
      <c r="A69" s="876"/>
      <c r="B69" s="4"/>
      <c r="C69" s="23"/>
      <c r="D69" s="23"/>
      <c r="E69" s="23"/>
      <c r="F69" s="23"/>
      <c r="G69" s="23"/>
      <c r="H69" s="23"/>
      <c r="I69" s="23"/>
      <c r="J69" s="23"/>
      <c r="K69" s="23"/>
      <c r="L69" s="23"/>
      <c r="M69" s="23"/>
      <c r="N69" s="4"/>
      <c r="O69" s="23"/>
      <c r="P69" s="23"/>
      <c r="Q69" s="4"/>
      <c r="R69" s="4"/>
      <c r="S69" s="4"/>
    </row>
    <row r="70" spans="1:19" x14ac:dyDescent="0.25">
      <c r="A70" s="876"/>
      <c r="B70" s="4"/>
      <c r="C70" s="23"/>
      <c r="D70" s="23"/>
      <c r="E70" s="23"/>
      <c r="F70" s="23"/>
      <c r="G70" s="23"/>
      <c r="H70" s="23"/>
      <c r="I70" s="23"/>
      <c r="J70" s="23"/>
      <c r="K70" s="23"/>
      <c r="L70" s="23"/>
      <c r="M70" s="23"/>
      <c r="N70" s="4"/>
      <c r="O70" s="23"/>
      <c r="P70" s="23"/>
      <c r="Q70" s="4"/>
      <c r="R70" s="4"/>
      <c r="S70" s="4"/>
    </row>
    <row r="71" spans="1:19" x14ac:dyDescent="0.25">
      <c r="A71" s="876"/>
      <c r="B71" s="4"/>
      <c r="C71" s="23"/>
      <c r="D71" s="23"/>
      <c r="E71" s="23"/>
      <c r="F71" s="23"/>
      <c r="G71" s="23"/>
      <c r="H71" s="23"/>
      <c r="I71" s="23"/>
      <c r="J71" s="23"/>
      <c r="K71" s="23"/>
      <c r="L71" s="23"/>
      <c r="M71" s="23"/>
      <c r="N71" s="4"/>
      <c r="O71" s="23"/>
      <c r="P71" s="23"/>
      <c r="Q71" s="4"/>
      <c r="R71" s="4"/>
      <c r="S71" s="4"/>
    </row>
    <row r="72" spans="1:19" x14ac:dyDescent="0.25">
      <c r="A72" s="876"/>
      <c r="B72" s="4"/>
      <c r="C72" s="23"/>
      <c r="D72" s="23"/>
      <c r="E72" s="23"/>
      <c r="F72" s="23"/>
      <c r="G72" s="23"/>
      <c r="H72" s="23"/>
      <c r="I72" s="23"/>
      <c r="J72" s="23"/>
      <c r="K72" s="23"/>
      <c r="L72" s="23"/>
      <c r="M72" s="23"/>
      <c r="N72" s="4"/>
      <c r="O72" s="23"/>
      <c r="P72" s="23"/>
      <c r="Q72" s="4"/>
      <c r="R72" s="4"/>
      <c r="S72" s="4"/>
    </row>
    <row r="73" spans="1:19" x14ac:dyDescent="0.25">
      <c r="A73" s="876"/>
      <c r="B73" s="4"/>
      <c r="C73" s="23"/>
      <c r="D73" s="23"/>
      <c r="E73" s="23"/>
      <c r="F73" s="23"/>
      <c r="G73" s="23"/>
      <c r="H73" s="23"/>
      <c r="I73" s="23"/>
      <c r="J73" s="23"/>
      <c r="K73" s="23"/>
      <c r="L73" s="23"/>
      <c r="M73" s="23"/>
      <c r="N73" s="4"/>
      <c r="O73" s="23"/>
      <c r="P73" s="23"/>
      <c r="Q73" s="4"/>
      <c r="R73" s="4"/>
      <c r="S73" s="4"/>
    </row>
    <row r="74" spans="1:19" x14ac:dyDescent="0.25">
      <c r="A74" s="876"/>
      <c r="B74" s="4"/>
      <c r="C74" s="23"/>
      <c r="D74" s="23"/>
      <c r="E74" s="23"/>
      <c r="F74" s="23"/>
      <c r="G74" s="23"/>
      <c r="H74" s="23"/>
      <c r="I74" s="23"/>
      <c r="J74" s="23"/>
      <c r="K74" s="23"/>
      <c r="L74" s="23"/>
      <c r="M74" s="23"/>
      <c r="N74" s="4"/>
      <c r="O74" s="23"/>
      <c r="P74" s="23"/>
      <c r="Q74" s="4"/>
      <c r="R74" s="4"/>
      <c r="S74" s="4"/>
    </row>
    <row r="75" spans="1:19" x14ac:dyDescent="0.25">
      <c r="A75" s="876"/>
      <c r="B75" s="4"/>
      <c r="C75" s="23"/>
      <c r="D75" s="23"/>
      <c r="E75" s="23"/>
      <c r="F75" s="23"/>
      <c r="G75" s="23"/>
      <c r="H75" s="23"/>
      <c r="I75" s="23"/>
      <c r="J75" s="23"/>
      <c r="K75" s="23"/>
      <c r="L75" s="23"/>
      <c r="M75" s="23"/>
      <c r="N75" s="4"/>
      <c r="O75" s="23"/>
      <c r="P75" s="23"/>
      <c r="Q75" s="4"/>
      <c r="R75" s="4"/>
      <c r="S75" s="4"/>
    </row>
    <row r="76" spans="1:19" x14ac:dyDescent="0.25">
      <c r="A76" s="876"/>
      <c r="B76" s="4"/>
      <c r="C76" s="23"/>
      <c r="D76" s="23"/>
      <c r="E76" s="23"/>
      <c r="F76" s="23"/>
      <c r="G76" s="23"/>
      <c r="H76" s="23"/>
      <c r="I76" s="23"/>
      <c r="J76" s="23"/>
      <c r="K76" s="23"/>
      <c r="L76" s="23"/>
      <c r="M76" s="23"/>
      <c r="N76" s="4"/>
      <c r="O76" s="23"/>
      <c r="P76" s="23"/>
      <c r="Q76" s="4"/>
      <c r="R76" s="4"/>
      <c r="S76" s="4"/>
    </row>
    <row r="77" spans="1:19" x14ac:dyDescent="0.25">
      <c r="A77" s="876"/>
      <c r="B77" s="4"/>
      <c r="C77" s="23"/>
      <c r="D77" s="23"/>
      <c r="E77" s="23"/>
      <c r="F77" s="23"/>
      <c r="G77" s="23"/>
      <c r="H77" s="23"/>
      <c r="I77" s="23"/>
      <c r="J77" s="23"/>
      <c r="K77" s="23"/>
      <c r="L77" s="23"/>
      <c r="M77" s="23"/>
      <c r="N77" s="4"/>
      <c r="O77" s="23"/>
      <c r="P77" s="23"/>
      <c r="Q77" s="4"/>
      <c r="R77" s="4"/>
      <c r="S77" s="4"/>
    </row>
    <row r="78" spans="1:19" x14ac:dyDescent="0.25">
      <c r="A78" s="876"/>
      <c r="B78" s="4"/>
      <c r="C78" s="23"/>
      <c r="D78" s="23"/>
      <c r="E78" s="23"/>
      <c r="F78" s="23"/>
      <c r="G78" s="23"/>
      <c r="H78" s="23"/>
      <c r="I78" s="23"/>
      <c r="J78" s="23"/>
      <c r="K78" s="23"/>
      <c r="L78" s="23"/>
      <c r="M78" s="23"/>
      <c r="N78" s="4"/>
      <c r="O78" s="23"/>
      <c r="P78" s="23"/>
      <c r="Q78" s="4"/>
      <c r="R78" s="4"/>
      <c r="S78" s="4"/>
    </row>
    <row r="79" spans="1:19" x14ac:dyDescent="0.25">
      <c r="A79" s="876"/>
      <c r="B79" s="4"/>
      <c r="C79" s="23"/>
      <c r="D79" s="23"/>
      <c r="E79" s="23"/>
      <c r="F79" s="23"/>
      <c r="G79" s="23"/>
      <c r="H79" s="23"/>
      <c r="I79" s="23"/>
      <c r="J79" s="23"/>
      <c r="K79" s="23"/>
      <c r="L79" s="23"/>
      <c r="M79" s="23"/>
      <c r="N79" s="4"/>
      <c r="O79" s="23"/>
      <c r="P79" s="23"/>
      <c r="Q79" s="4"/>
      <c r="R79" s="4"/>
      <c r="S79" s="4"/>
    </row>
    <row r="80" spans="1:19" x14ac:dyDescent="0.25">
      <c r="A80" s="876"/>
      <c r="B80" s="4"/>
      <c r="C80" s="23"/>
      <c r="D80" s="23"/>
      <c r="E80" s="23"/>
      <c r="F80" s="23"/>
      <c r="G80" s="23"/>
      <c r="H80" s="23"/>
      <c r="I80" s="23"/>
      <c r="J80" s="23"/>
      <c r="K80" s="23"/>
      <c r="L80" s="23"/>
      <c r="M80" s="23"/>
      <c r="N80" s="4"/>
      <c r="O80" s="23"/>
      <c r="P80" s="23"/>
      <c r="Q80" s="4"/>
      <c r="R80" s="4"/>
      <c r="S80" s="4"/>
    </row>
    <row r="81" spans="1:19" x14ac:dyDescent="0.25">
      <c r="A81" s="876"/>
      <c r="B81" s="4"/>
      <c r="C81" s="23"/>
      <c r="D81" s="23"/>
      <c r="E81" s="23"/>
      <c r="F81" s="23"/>
      <c r="G81" s="23"/>
      <c r="H81" s="23"/>
      <c r="I81" s="23"/>
      <c r="J81" s="23"/>
      <c r="K81" s="23"/>
      <c r="L81" s="23"/>
      <c r="M81" s="23"/>
      <c r="N81" s="4"/>
      <c r="O81" s="23"/>
      <c r="P81" s="23"/>
      <c r="Q81" s="4"/>
      <c r="R81" s="4"/>
      <c r="S81" s="4"/>
    </row>
    <row r="82" spans="1:19" x14ac:dyDescent="0.25">
      <c r="A82" s="876"/>
      <c r="B82" s="4"/>
      <c r="C82" s="23"/>
      <c r="D82" s="23"/>
      <c r="E82" s="23"/>
      <c r="F82" s="23"/>
      <c r="G82" s="23"/>
      <c r="H82" s="23"/>
      <c r="I82" s="23"/>
      <c r="J82" s="23"/>
      <c r="K82" s="23"/>
      <c r="L82" s="23"/>
      <c r="M82" s="23"/>
      <c r="N82" s="4"/>
      <c r="O82" s="23"/>
      <c r="P82" s="23"/>
      <c r="Q82" s="4"/>
      <c r="R82" s="4"/>
      <c r="S82" s="4"/>
    </row>
    <row r="83" spans="1:19" x14ac:dyDescent="0.25">
      <c r="A83" s="876"/>
      <c r="B83" s="4"/>
      <c r="C83" s="23"/>
      <c r="D83" s="23"/>
      <c r="E83" s="23"/>
      <c r="F83" s="23"/>
      <c r="G83" s="23"/>
      <c r="H83" s="23"/>
      <c r="I83" s="23"/>
      <c r="J83" s="23"/>
      <c r="K83" s="23"/>
      <c r="L83" s="23"/>
      <c r="M83" s="23"/>
      <c r="N83" s="4"/>
      <c r="O83" s="23"/>
      <c r="P83" s="23"/>
      <c r="Q83" s="4"/>
      <c r="R83" s="4"/>
      <c r="S83" s="4"/>
    </row>
    <row r="84" spans="1:19" x14ac:dyDescent="0.25">
      <c r="A84" s="876"/>
      <c r="B84" s="4"/>
      <c r="C84" s="23"/>
      <c r="D84" s="23"/>
      <c r="E84" s="23"/>
      <c r="F84" s="23"/>
      <c r="G84" s="23"/>
      <c r="H84" s="23"/>
      <c r="I84" s="23"/>
      <c r="J84" s="23"/>
      <c r="K84" s="23"/>
      <c r="L84" s="23"/>
      <c r="M84" s="23"/>
      <c r="N84" s="4"/>
      <c r="O84" s="23"/>
      <c r="P84" s="23"/>
      <c r="Q84" s="4"/>
      <c r="R84" s="4"/>
      <c r="S84" s="4"/>
    </row>
    <row r="85" spans="1:19" x14ac:dyDescent="0.25">
      <c r="A85" s="876"/>
      <c r="B85" s="4"/>
      <c r="C85" s="23"/>
      <c r="D85" s="23"/>
      <c r="E85" s="23"/>
      <c r="F85" s="23"/>
      <c r="G85" s="23"/>
      <c r="H85" s="23"/>
      <c r="I85" s="23"/>
      <c r="J85" s="23"/>
      <c r="K85" s="23"/>
      <c r="L85" s="23"/>
      <c r="M85" s="23"/>
      <c r="N85" s="4"/>
      <c r="O85" s="23"/>
      <c r="P85" s="23"/>
      <c r="Q85" s="4"/>
      <c r="R85" s="4"/>
      <c r="S85" s="4"/>
    </row>
    <row r="86" spans="1:19" x14ac:dyDescent="0.25">
      <c r="A86" s="876"/>
      <c r="B86" s="4"/>
      <c r="C86" s="23"/>
      <c r="D86" s="23"/>
      <c r="E86" s="23"/>
      <c r="F86" s="23"/>
      <c r="G86" s="23"/>
      <c r="H86" s="23"/>
      <c r="I86" s="23"/>
      <c r="J86" s="23"/>
      <c r="K86" s="23"/>
      <c r="L86" s="23"/>
      <c r="M86" s="23"/>
      <c r="N86" s="4"/>
      <c r="O86" s="23"/>
      <c r="P86" s="23"/>
      <c r="Q86" s="4"/>
      <c r="R86" s="4"/>
      <c r="S86" s="4"/>
    </row>
    <row r="87" spans="1:19" x14ac:dyDescent="0.25">
      <c r="A87" s="876"/>
      <c r="B87" s="4"/>
      <c r="C87" s="23"/>
      <c r="D87" s="23"/>
      <c r="E87" s="23"/>
      <c r="F87" s="23"/>
      <c r="G87" s="23"/>
      <c r="H87" s="23"/>
      <c r="I87" s="23"/>
      <c r="J87" s="23"/>
      <c r="K87" s="23"/>
      <c r="L87" s="23"/>
      <c r="M87" s="23"/>
      <c r="N87" s="4"/>
      <c r="O87" s="23"/>
      <c r="P87" s="23"/>
      <c r="Q87" s="4"/>
      <c r="R87" s="4"/>
      <c r="S87" s="4"/>
    </row>
    <row r="88" spans="1:19" x14ac:dyDescent="0.25">
      <c r="A88" s="876"/>
      <c r="B88" s="4"/>
      <c r="C88" s="23"/>
      <c r="D88" s="23"/>
      <c r="E88" s="23"/>
      <c r="F88" s="23"/>
      <c r="G88" s="23"/>
      <c r="H88" s="23"/>
      <c r="I88" s="23"/>
      <c r="J88" s="23"/>
      <c r="K88" s="23"/>
      <c r="L88" s="23"/>
      <c r="M88" s="23"/>
      <c r="N88" s="4"/>
      <c r="O88" s="23"/>
      <c r="P88" s="23"/>
      <c r="Q88" s="4"/>
      <c r="R88" s="4"/>
      <c r="S88" s="4"/>
    </row>
    <row r="89" spans="1:19" x14ac:dyDescent="0.25">
      <c r="A89" s="876"/>
      <c r="B89" s="4"/>
      <c r="C89" s="23"/>
      <c r="D89" s="23"/>
      <c r="E89" s="23"/>
      <c r="F89" s="23"/>
      <c r="G89" s="23"/>
      <c r="H89" s="23"/>
      <c r="I89" s="23"/>
      <c r="J89" s="23"/>
      <c r="K89" s="23"/>
      <c r="L89" s="23"/>
      <c r="M89" s="23"/>
      <c r="N89" s="4"/>
      <c r="O89" s="23"/>
      <c r="P89" s="23"/>
      <c r="Q89" s="4"/>
      <c r="R89" s="4"/>
      <c r="S89" s="4"/>
    </row>
    <row r="90" spans="1:19" x14ac:dyDescent="0.25">
      <c r="A90" s="876"/>
      <c r="B90" s="4"/>
      <c r="C90" s="23"/>
      <c r="D90" s="23"/>
      <c r="E90" s="23"/>
      <c r="F90" s="23"/>
      <c r="G90" s="23"/>
      <c r="H90" s="23"/>
      <c r="I90" s="23"/>
      <c r="J90" s="23"/>
      <c r="K90" s="23"/>
      <c r="L90" s="23"/>
      <c r="M90" s="23"/>
      <c r="N90" s="4"/>
      <c r="O90" s="23"/>
      <c r="P90" s="23"/>
      <c r="Q90" s="4"/>
      <c r="R90" s="4"/>
      <c r="S90" s="4"/>
    </row>
    <row r="91" spans="1:19" x14ac:dyDescent="0.25">
      <c r="A91" s="876"/>
      <c r="B91" s="4"/>
      <c r="C91" s="23"/>
      <c r="D91" s="23"/>
      <c r="E91" s="23"/>
      <c r="F91" s="23"/>
      <c r="G91" s="23"/>
      <c r="H91" s="23"/>
      <c r="I91" s="23"/>
      <c r="J91" s="23"/>
      <c r="K91" s="23"/>
      <c r="L91" s="23"/>
      <c r="M91" s="23"/>
      <c r="N91" s="4"/>
      <c r="O91" s="23"/>
      <c r="P91" s="23"/>
      <c r="Q91" s="4"/>
      <c r="R91" s="4"/>
      <c r="S91" s="4"/>
    </row>
    <row r="92" spans="1:19" x14ac:dyDescent="0.25">
      <c r="A92" s="876"/>
      <c r="B92" s="4"/>
      <c r="C92" s="23"/>
      <c r="D92" s="23"/>
      <c r="E92" s="23"/>
      <c r="F92" s="23"/>
      <c r="G92" s="23"/>
      <c r="H92" s="23"/>
      <c r="I92" s="23"/>
      <c r="J92" s="23"/>
      <c r="K92" s="23"/>
      <c r="L92" s="23"/>
      <c r="M92" s="23"/>
      <c r="N92" s="4"/>
      <c r="O92" s="23"/>
      <c r="P92" s="23"/>
      <c r="Q92" s="4"/>
      <c r="R92" s="4"/>
      <c r="S92" s="4"/>
    </row>
    <row r="93" spans="1:19" x14ac:dyDescent="0.25">
      <c r="A93" s="876"/>
      <c r="B93" s="4"/>
      <c r="C93" s="23"/>
      <c r="D93" s="23"/>
      <c r="E93" s="23"/>
      <c r="F93" s="23"/>
      <c r="G93" s="23"/>
      <c r="H93" s="23"/>
      <c r="I93" s="23"/>
      <c r="J93" s="23"/>
      <c r="K93" s="23"/>
      <c r="L93" s="23"/>
      <c r="M93" s="23"/>
      <c r="N93" s="4"/>
      <c r="O93" s="23"/>
      <c r="P93" s="23"/>
      <c r="Q93" s="4"/>
      <c r="R93" s="4"/>
      <c r="S93" s="4"/>
    </row>
    <row r="94" spans="1:19" x14ac:dyDescent="0.25">
      <c r="A94" s="876"/>
      <c r="B94" s="4"/>
      <c r="C94" s="23"/>
      <c r="D94" s="23"/>
      <c r="E94" s="23"/>
      <c r="F94" s="23"/>
      <c r="G94" s="23"/>
      <c r="H94" s="23"/>
      <c r="I94" s="23"/>
      <c r="J94" s="23"/>
      <c r="K94" s="23"/>
      <c r="L94" s="23"/>
      <c r="M94" s="23"/>
      <c r="N94" s="4"/>
      <c r="O94" s="23"/>
      <c r="P94" s="23"/>
      <c r="Q94" s="4"/>
      <c r="R94" s="4"/>
      <c r="S94" s="4"/>
    </row>
    <row r="95" spans="1:19" x14ac:dyDescent="0.25">
      <c r="A95" s="876"/>
      <c r="B95" s="4"/>
      <c r="C95" s="23"/>
      <c r="D95" s="23"/>
      <c r="E95" s="23"/>
      <c r="F95" s="23"/>
      <c r="G95" s="23"/>
      <c r="H95" s="23"/>
      <c r="I95" s="23"/>
      <c r="J95" s="23"/>
      <c r="K95" s="23"/>
      <c r="L95" s="23"/>
      <c r="M95" s="23"/>
      <c r="N95" s="4"/>
      <c r="O95" s="23"/>
      <c r="P95" s="23"/>
      <c r="Q95" s="4"/>
      <c r="R95" s="4"/>
      <c r="S95" s="4"/>
    </row>
    <row r="96" spans="1:19" x14ac:dyDescent="0.25">
      <c r="A96" s="876"/>
      <c r="B96" s="4"/>
      <c r="C96" s="23"/>
      <c r="D96" s="23"/>
      <c r="E96" s="23"/>
      <c r="F96" s="23"/>
      <c r="G96" s="23"/>
      <c r="H96" s="23"/>
      <c r="I96" s="23"/>
      <c r="J96" s="23"/>
      <c r="K96" s="23"/>
      <c r="L96" s="23"/>
      <c r="M96" s="23"/>
      <c r="N96" s="4"/>
      <c r="O96" s="23"/>
      <c r="P96" s="23"/>
      <c r="Q96" s="4"/>
      <c r="R96" s="4"/>
      <c r="S96" s="4"/>
    </row>
    <row r="97" spans="1:19" x14ac:dyDescent="0.25">
      <c r="A97" s="876"/>
      <c r="B97" s="4"/>
      <c r="C97" s="23"/>
      <c r="D97" s="23"/>
      <c r="E97" s="23"/>
      <c r="F97" s="23"/>
      <c r="G97" s="23"/>
      <c r="H97" s="23"/>
      <c r="I97" s="23"/>
      <c r="J97" s="23"/>
      <c r="K97" s="23"/>
      <c r="L97" s="23"/>
      <c r="M97" s="23"/>
      <c r="N97" s="4"/>
      <c r="O97" s="23"/>
      <c r="P97" s="23"/>
      <c r="Q97" s="4"/>
      <c r="R97" s="4"/>
      <c r="S97" s="4"/>
    </row>
    <row r="98" spans="1:19" x14ac:dyDescent="0.25">
      <c r="A98" s="876"/>
      <c r="B98" s="4"/>
      <c r="C98" s="23"/>
      <c r="D98" s="23"/>
      <c r="E98" s="23"/>
      <c r="F98" s="23"/>
      <c r="G98" s="23"/>
      <c r="H98" s="23"/>
      <c r="I98" s="23"/>
      <c r="J98" s="23"/>
      <c r="K98" s="23"/>
      <c r="L98" s="23"/>
      <c r="M98" s="23"/>
      <c r="N98" s="4"/>
      <c r="O98" s="23"/>
      <c r="P98" s="23"/>
      <c r="Q98" s="4"/>
      <c r="R98" s="4"/>
      <c r="S98" s="4"/>
    </row>
    <row r="99" spans="1:19" x14ac:dyDescent="0.25">
      <c r="A99" s="876"/>
      <c r="B99" s="4"/>
      <c r="C99" s="23"/>
      <c r="D99" s="23"/>
      <c r="E99" s="23"/>
      <c r="F99" s="23"/>
      <c r="G99" s="23"/>
      <c r="H99" s="23"/>
      <c r="I99" s="23"/>
      <c r="J99" s="23"/>
      <c r="K99" s="23"/>
      <c r="L99" s="23"/>
      <c r="M99" s="23"/>
      <c r="N99" s="4"/>
      <c r="O99" s="23"/>
      <c r="P99" s="23"/>
      <c r="Q99" s="4"/>
      <c r="R99" s="4"/>
      <c r="S99" s="4"/>
    </row>
    <row r="100" spans="1:19" x14ac:dyDescent="0.25">
      <c r="A100" s="876"/>
      <c r="B100" s="4"/>
      <c r="C100" s="23"/>
      <c r="D100" s="23"/>
      <c r="E100" s="23"/>
      <c r="F100" s="23"/>
      <c r="G100" s="23"/>
      <c r="H100" s="23"/>
      <c r="I100" s="23"/>
      <c r="J100" s="23"/>
      <c r="K100" s="23"/>
      <c r="L100" s="23"/>
      <c r="M100" s="23"/>
      <c r="N100" s="4"/>
      <c r="O100" s="23"/>
      <c r="P100" s="23"/>
      <c r="Q100" s="4"/>
      <c r="R100" s="4"/>
      <c r="S100" s="4"/>
    </row>
    <row r="101" spans="1:19" x14ac:dyDescent="0.25">
      <c r="A101" s="876"/>
      <c r="B101" s="4"/>
      <c r="C101" s="23"/>
      <c r="D101" s="23"/>
      <c r="E101" s="23"/>
      <c r="F101" s="23"/>
      <c r="G101" s="23"/>
      <c r="H101" s="23"/>
      <c r="I101" s="23"/>
      <c r="J101" s="23"/>
      <c r="K101" s="23"/>
      <c r="L101" s="23"/>
      <c r="M101" s="23"/>
      <c r="N101" s="4"/>
      <c r="O101" s="23"/>
      <c r="P101" s="23"/>
      <c r="Q101" s="4"/>
      <c r="R101" s="4"/>
      <c r="S101" s="4"/>
    </row>
    <row r="102" spans="1:19" x14ac:dyDescent="0.25">
      <c r="A102" s="876"/>
      <c r="B102" s="4"/>
      <c r="C102" s="23"/>
      <c r="D102" s="23"/>
      <c r="E102" s="23"/>
      <c r="F102" s="23"/>
      <c r="G102" s="23"/>
      <c r="H102" s="23"/>
      <c r="I102" s="23"/>
      <c r="J102" s="23"/>
      <c r="K102" s="23"/>
      <c r="L102" s="23"/>
      <c r="M102" s="23"/>
      <c r="N102" s="4"/>
      <c r="O102" s="23"/>
      <c r="P102" s="23"/>
      <c r="Q102" s="4"/>
      <c r="R102" s="4"/>
      <c r="S102" s="4"/>
    </row>
    <row r="103" spans="1:19" x14ac:dyDescent="0.25">
      <c r="A103" s="876"/>
      <c r="B103" s="4"/>
      <c r="C103" s="23"/>
      <c r="D103" s="23"/>
      <c r="E103" s="23"/>
      <c r="F103" s="23"/>
      <c r="G103" s="23"/>
      <c r="H103" s="23"/>
      <c r="I103" s="23"/>
      <c r="J103" s="23"/>
      <c r="K103" s="23"/>
      <c r="L103" s="23"/>
      <c r="M103" s="23"/>
      <c r="N103" s="4"/>
      <c r="O103" s="23"/>
      <c r="P103" s="23"/>
      <c r="Q103" s="4"/>
      <c r="R103" s="4"/>
      <c r="S103" s="4"/>
    </row>
    <row r="104" spans="1:19" x14ac:dyDescent="0.25">
      <c r="A104" s="876"/>
      <c r="B104" s="4"/>
      <c r="C104" s="23"/>
      <c r="D104" s="23"/>
      <c r="E104" s="23"/>
      <c r="F104" s="23"/>
      <c r="G104" s="23"/>
      <c r="H104" s="23"/>
      <c r="I104" s="23"/>
      <c r="J104" s="23"/>
      <c r="K104" s="23"/>
      <c r="L104" s="23"/>
      <c r="M104" s="23"/>
      <c r="N104" s="4"/>
      <c r="O104" s="23"/>
      <c r="P104" s="23"/>
      <c r="Q104" s="4"/>
      <c r="R104" s="4"/>
      <c r="S104" s="4"/>
    </row>
    <row r="105" spans="1:19" x14ac:dyDescent="0.25">
      <c r="A105" s="876"/>
      <c r="B105" s="4"/>
      <c r="C105" s="23"/>
      <c r="D105" s="23"/>
      <c r="E105" s="23"/>
      <c r="F105" s="23"/>
      <c r="G105" s="23"/>
      <c r="H105" s="23"/>
      <c r="I105" s="23"/>
      <c r="J105" s="23"/>
      <c r="K105" s="23"/>
      <c r="L105" s="23"/>
      <c r="M105" s="23"/>
      <c r="N105" s="4"/>
      <c r="O105" s="23"/>
      <c r="P105" s="23"/>
      <c r="Q105" s="4"/>
      <c r="R105" s="4"/>
      <c r="S105" s="4"/>
    </row>
    <row r="106" spans="1:19" x14ac:dyDescent="0.25">
      <c r="A106" s="876"/>
      <c r="B106" s="4"/>
      <c r="C106" s="23"/>
      <c r="D106" s="23"/>
      <c r="E106" s="23"/>
      <c r="F106" s="23"/>
      <c r="G106" s="23"/>
      <c r="H106" s="23"/>
      <c r="I106" s="23"/>
      <c r="J106" s="23"/>
      <c r="K106" s="23"/>
      <c r="L106" s="23"/>
      <c r="M106" s="23"/>
      <c r="N106" s="4"/>
      <c r="O106" s="23"/>
      <c r="P106" s="23"/>
      <c r="Q106" s="4"/>
      <c r="R106" s="4"/>
      <c r="S106" s="4"/>
    </row>
    <row r="107" spans="1:19" x14ac:dyDescent="0.25">
      <c r="A107" s="876"/>
      <c r="B107" s="4"/>
      <c r="C107" s="23"/>
      <c r="D107" s="23"/>
      <c r="E107" s="23"/>
      <c r="F107" s="23"/>
      <c r="G107" s="23"/>
      <c r="H107" s="23"/>
      <c r="I107" s="23"/>
      <c r="J107" s="23"/>
      <c r="K107" s="23"/>
      <c r="L107" s="23"/>
      <c r="M107" s="23"/>
      <c r="N107" s="4"/>
      <c r="O107" s="23"/>
      <c r="P107" s="23"/>
      <c r="Q107" s="4"/>
      <c r="R107" s="4"/>
      <c r="S107" s="4"/>
    </row>
    <row r="108" spans="1:19" x14ac:dyDescent="0.25">
      <c r="A108" s="876"/>
      <c r="B108" s="4"/>
      <c r="C108" s="23"/>
      <c r="D108" s="23"/>
      <c r="E108" s="23"/>
      <c r="F108" s="23"/>
      <c r="G108" s="23"/>
      <c r="H108" s="23"/>
      <c r="I108" s="23"/>
      <c r="J108" s="23"/>
      <c r="K108" s="23"/>
      <c r="L108" s="23"/>
      <c r="M108" s="23"/>
      <c r="N108" s="4"/>
      <c r="O108" s="23"/>
      <c r="P108" s="23"/>
      <c r="Q108" s="4"/>
      <c r="R108" s="4"/>
      <c r="S108" s="4"/>
    </row>
    <row r="109" spans="1:19" x14ac:dyDescent="0.25">
      <c r="A109" s="876"/>
      <c r="B109" s="4"/>
      <c r="C109" s="23"/>
      <c r="D109" s="23"/>
      <c r="E109" s="23"/>
      <c r="F109" s="23"/>
      <c r="G109" s="23"/>
      <c r="H109" s="23"/>
      <c r="I109" s="23"/>
      <c r="J109" s="23"/>
      <c r="K109" s="23"/>
      <c r="L109" s="23"/>
      <c r="M109" s="23"/>
      <c r="N109" s="4"/>
      <c r="O109" s="23"/>
      <c r="P109" s="23"/>
      <c r="Q109" s="4"/>
      <c r="R109" s="4"/>
      <c r="S109" s="4"/>
    </row>
    <row r="110" spans="1:19" x14ac:dyDescent="0.25">
      <c r="A110" s="876"/>
      <c r="B110" s="4"/>
      <c r="C110" s="23"/>
      <c r="D110" s="23"/>
      <c r="E110" s="23"/>
      <c r="F110" s="23"/>
      <c r="G110" s="23"/>
      <c r="H110" s="23"/>
      <c r="I110" s="23"/>
      <c r="J110" s="23"/>
      <c r="K110" s="23"/>
      <c r="L110" s="23"/>
      <c r="M110" s="23"/>
      <c r="N110" s="4"/>
      <c r="O110" s="23"/>
      <c r="P110" s="23"/>
      <c r="Q110" s="4"/>
      <c r="R110" s="4"/>
      <c r="S110" s="4"/>
    </row>
    <row r="111" spans="1:19" x14ac:dyDescent="0.25">
      <c r="A111" s="876"/>
      <c r="B111" s="4"/>
      <c r="C111" s="23"/>
      <c r="D111" s="23"/>
      <c r="E111" s="23"/>
      <c r="F111" s="23"/>
      <c r="G111" s="23"/>
      <c r="H111" s="23"/>
      <c r="I111" s="23"/>
      <c r="J111" s="23"/>
      <c r="K111" s="23"/>
      <c r="L111" s="23"/>
      <c r="M111" s="23"/>
      <c r="N111" s="4"/>
      <c r="O111" s="23"/>
      <c r="P111" s="23"/>
      <c r="Q111" s="4"/>
      <c r="R111" s="4"/>
      <c r="S111" s="4"/>
    </row>
    <row r="112" spans="1:19" x14ac:dyDescent="0.25">
      <c r="C112" s="114"/>
    </row>
    <row r="113" spans="3:3" x14ac:dyDescent="0.25">
      <c r="C113" s="114"/>
    </row>
    <row r="114" spans="3:3" x14ac:dyDescent="0.25">
      <c r="C114" s="114"/>
    </row>
    <row r="115" spans="3:3" x14ac:dyDescent="0.25">
      <c r="C115" s="114"/>
    </row>
    <row r="116" spans="3:3" x14ac:dyDescent="0.25">
      <c r="C116" s="114"/>
    </row>
    <row r="117" spans="3:3" x14ac:dyDescent="0.25">
      <c r="C117" s="114"/>
    </row>
    <row r="118" spans="3:3" x14ac:dyDescent="0.25">
      <c r="C118" s="114"/>
    </row>
    <row r="119" spans="3:3" x14ac:dyDescent="0.25">
      <c r="C119" s="114"/>
    </row>
    <row r="120" spans="3:3" x14ac:dyDescent="0.25">
      <c r="C120" s="114"/>
    </row>
    <row r="121" spans="3:3" x14ac:dyDescent="0.25">
      <c r="C121" s="114"/>
    </row>
    <row r="122" spans="3:3" x14ac:dyDescent="0.25">
      <c r="C122" s="114"/>
    </row>
    <row r="123" spans="3:3" x14ac:dyDescent="0.25">
      <c r="C123" s="114"/>
    </row>
    <row r="124" spans="3:3" x14ac:dyDescent="0.25">
      <c r="C124" s="114"/>
    </row>
    <row r="125" spans="3:3" x14ac:dyDescent="0.25">
      <c r="C125" s="114"/>
    </row>
    <row r="126" spans="3:3" x14ac:dyDescent="0.25">
      <c r="C126" s="114"/>
    </row>
    <row r="127" spans="3:3" x14ac:dyDescent="0.25">
      <c r="C127" s="114"/>
    </row>
    <row r="128" spans="3:3" x14ac:dyDescent="0.25">
      <c r="C128" s="114"/>
    </row>
    <row r="129" spans="3:3" x14ac:dyDescent="0.25">
      <c r="C129" s="114"/>
    </row>
    <row r="130" spans="3:3" x14ac:dyDescent="0.25">
      <c r="C130" s="114"/>
    </row>
    <row r="131" spans="3:3" x14ac:dyDescent="0.25">
      <c r="C131" s="114"/>
    </row>
    <row r="132" spans="3:3" x14ac:dyDescent="0.25">
      <c r="C132" s="114"/>
    </row>
    <row r="133" spans="3:3" x14ac:dyDescent="0.25">
      <c r="C133" s="114"/>
    </row>
    <row r="134" spans="3:3" x14ac:dyDescent="0.25">
      <c r="C134" s="114"/>
    </row>
    <row r="135" spans="3:3" x14ac:dyDescent="0.25">
      <c r="C135" s="114"/>
    </row>
    <row r="136" spans="3:3" x14ac:dyDescent="0.25">
      <c r="C136" s="114"/>
    </row>
    <row r="137" spans="3:3" x14ac:dyDescent="0.25">
      <c r="C137" s="114"/>
    </row>
    <row r="138" spans="3:3" x14ac:dyDescent="0.25">
      <c r="C138" s="114"/>
    </row>
    <row r="139" spans="3:3" x14ac:dyDescent="0.25">
      <c r="C139" s="114"/>
    </row>
    <row r="140" spans="3:3" x14ac:dyDescent="0.25">
      <c r="C140" s="114"/>
    </row>
    <row r="141" spans="3:3" x14ac:dyDescent="0.25">
      <c r="C141" s="114"/>
    </row>
    <row r="142" spans="3:3" x14ac:dyDescent="0.25">
      <c r="C142" s="114"/>
    </row>
    <row r="143" spans="3:3" x14ac:dyDescent="0.25">
      <c r="C143" s="114"/>
    </row>
    <row r="144" spans="3:3" x14ac:dyDescent="0.25">
      <c r="C144" s="114"/>
    </row>
    <row r="145" spans="3:3" x14ac:dyDescent="0.25">
      <c r="C145" s="114"/>
    </row>
    <row r="146" spans="3:3" x14ac:dyDescent="0.25">
      <c r="C146" s="114"/>
    </row>
    <row r="147" spans="3:3" x14ac:dyDescent="0.25">
      <c r="C147" s="114"/>
    </row>
    <row r="148" spans="3:3" x14ac:dyDescent="0.25">
      <c r="C148" s="114"/>
    </row>
    <row r="149" spans="3:3" x14ac:dyDescent="0.25">
      <c r="C149" s="114"/>
    </row>
    <row r="150" spans="3:3" x14ac:dyDescent="0.25">
      <c r="C150" s="114"/>
    </row>
    <row r="151" spans="3:3" x14ac:dyDescent="0.25">
      <c r="C151" s="114"/>
    </row>
    <row r="152" spans="3:3" x14ac:dyDescent="0.25">
      <c r="C152" s="114"/>
    </row>
    <row r="153" spans="3:3" x14ac:dyDescent="0.25">
      <c r="C153" s="114"/>
    </row>
    <row r="154" spans="3:3" x14ac:dyDescent="0.25">
      <c r="C154" s="114"/>
    </row>
    <row r="155" spans="3:3" x14ac:dyDescent="0.25">
      <c r="C155" s="114"/>
    </row>
    <row r="156" spans="3:3" x14ac:dyDescent="0.25">
      <c r="C156" s="114"/>
    </row>
    <row r="157" spans="3:3" x14ac:dyDescent="0.25">
      <c r="C157" s="114"/>
    </row>
    <row r="158" spans="3:3" x14ac:dyDescent="0.25">
      <c r="C158" s="114"/>
    </row>
    <row r="159" spans="3:3" x14ac:dyDescent="0.25">
      <c r="C159" s="114"/>
    </row>
    <row r="160" spans="3:3" x14ac:dyDescent="0.25">
      <c r="C160" s="114"/>
    </row>
  </sheetData>
  <phoneticPr fontId="0" type="noConversion"/>
  <hyperlinks>
    <hyperlink ref="A1" location="'Working Budget with funding det'!A1" display="Main " xr:uid="{00000000-0004-0000-3A00-000000000000}"/>
    <hyperlink ref="B1" location="'Table of Contents'!A1" display="TOC" xr:uid="{00000000-0004-0000-3A00-000001000000}"/>
  </hyperlinks>
  <pageMargins left="0.75" right="0.75" top="1" bottom="1" header="0.5" footer="0.5"/>
  <pageSetup scale="92" fitToHeight="2" orientation="landscape" horizontalDpi="300" verticalDpi="300" r:id="rId1"/>
  <headerFooter alignWithMargins="0">
    <oddFooter>&amp;L&amp;D     &amp;T&amp;C&amp;F&amp;R&amp;A</oddFooter>
  </headerFooter>
  <rowBreaks count="1" manualBreakCount="1">
    <brk id="30" max="16"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rgb="FF92D050"/>
    <pageSetUpPr fitToPage="1"/>
  </sheetPr>
  <dimension ref="A1:AV155"/>
  <sheetViews>
    <sheetView topLeftCell="A39" workbookViewId="0">
      <selection activeCell="P39" sqref="P1:P1048576"/>
    </sheetView>
  </sheetViews>
  <sheetFormatPr defaultRowHeight="13.2" x14ac:dyDescent="0.25"/>
  <cols>
    <col min="1" max="1" width="14.44140625" style="885" customWidth="1"/>
    <col min="2" max="2" width="36.6640625" customWidth="1"/>
    <col min="3" max="3" width="14.44140625" style="1" hidden="1" customWidth="1"/>
    <col min="4" max="10" width="14.44140625" style="114" hidden="1" customWidth="1"/>
    <col min="11" max="13" width="14.44140625" style="114" customWidth="1"/>
    <col min="14" max="14" width="14.44140625" customWidth="1"/>
    <col min="15" max="16" width="14.44140625" style="1" customWidth="1"/>
    <col min="17" max="17" width="14.44140625" customWidth="1"/>
    <col min="18" max="19" width="11.33203125" hidden="1" customWidth="1"/>
    <col min="20" max="47" width="11.33203125" customWidth="1"/>
    <col min="48" max="48" width="10.44140625" bestFit="1" customWidth="1"/>
  </cols>
  <sheetData>
    <row r="1" spans="1:47" x14ac:dyDescent="0.25">
      <c r="A1" s="874" t="s">
        <v>1021</v>
      </c>
      <c r="B1" s="371" t="s">
        <v>1348</v>
      </c>
      <c r="P1"/>
    </row>
    <row r="2" spans="1:47" ht="13.8" x14ac:dyDescent="0.25">
      <c r="A2" s="875" t="s">
        <v>269</v>
      </c>
      <c r="B2" s="45"/>
      <c r="E2" s="141"/>
      <c r="I2" s="141" t="s">
        <v>257</v>
      </c>
      <c r="J2" s="141"/>
      <c r="K2" s="141"/>
      <c r="L2" s="141"/>
      <c r="M2" s="141"/>
      <c r="N2" s="61" t="s">
        <v>360</v>
      </c>
      <c r="P2" s="46" t="s">
        <v>510</v>
      </c>
    </row>
    <row r="3" spans="1:47" ht="13.8" thickBot="1" x14ac:dyDescent="0.3">
      <c r="A3" s="876"/>
      <c r="B3" s="4"/>
      <c r="C3" s="23"/>
      <c r="D3" s="23"/>
      <c r="E3" s="23"/>
      <c r="F3" s="23"/>
      <c r="G3" s="23"/>
      <c r="H3" s="23"/>
      <c r="I3" s="23"/>
      <c r="J3" s="23"/>
      <c r="K3" s="23"/>
      <c r="L3" s="23"/>
      <c r="M3" s="23"/>
      <c r="N3" s="4"/>
      <c r="O3" s="23"/>
      <c r="P3" s="4"/>
    </row>
    <row r="4" spans="1:47" ht="13.8" thickTop="1" x14ac:dyDescent="0.25">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t="s">
        <v>910</v>
      </c>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row>
    <row r="5" spans="1:47" x14ac:dyDescent="0.25">
      <c r="A5" s="878"/>
      <c r="B5" s="209"/>
      <c r="C5" s="127"/>
      <c r="D5" s="87"/>
      <c r="E5" s="113"/>
      <c r="F5" s="87"/>
      <c r="G5" s="87"/>
      <c r="H5" s="113"/>
      <c r="I5" s="290"/>
      <c r="J5" s="290"/>
      <c r="K5" s="290"/>
      <c r="L5" s="290"/>
      <c r="M5" s="290"/>
      <c r="N5" s="113" t="s">
        <v>515</v>
      </c>
      <c r="O5" s="88" t="s">
        <v>7</v>
      </c>
      <c r="P5" s="203" t="s">
        <v>782</v>
      </c>
      <c r="R5" s="47" t="s">
        <v>908</v>
      </c>
      <c r="S5" s="47" t="s">
        <v>909</v>
      </c>
      <c r="T5" s="47" t="s">
        <v>910</v>
      </c>
      <c r="U5" s="47" t="s">
        <v>911</v>
      </c>
      <c r="V5" s="47" t="s">
        <v>912</v>
      </c>
      <c r="W5" s="47" t="s">
        <v>913</v>
      </c>
      <c r="X5" s="47" t="s">
        <v>914</v>
      </c>
      <c r="Y5" s="47" t="s">
        <v>915</v>
      </c>
      <c r="Z5" s="47" t="s">
        <v>916</v>
      </c>
      <c r="AA5" s="47" t="s">
        <v>917</v>
      </c>
      <c r="AB5" s="47" t="s">
        <v>918</v>
      </c>
      <c r="AC5" s="47" t="s">
        <v>919</v>
      </c>
      <c r="AD5" s="47" t="s">
        <v>920</v>
      </c>
      <c r="AE5" s="47" t="s">
        <v>921</v>
      </c>
      <c r="AF5" s="47" t="s">
        <v>922</v>
      </c>
      <c r="AG5" s="47" t="s">
        <v>923</v>
      </c>
      <c r="AH5" s="47" t="s">
        <v>924</v>
      </c>
      <c r="AI5" s="47" t="s">
        <v>925</v>
      </c>
      <c r="AJ5" s="47" t="s">
        <v>926</v>
      </c>
      <c r="AK5" s="47" t="s">
        <v>927</v>
      </c>
      <c r="AL5" s="47" t="s">
        <v>928</v>
      </c>
      <c r="AM5" s="47" t="s">
        <v>929</v>
      </c>
      <c r="AN5" s="47" t="s">
        <v>930</v>
      </c>
      <c r="AO5" s="47" t="s">
        <v>931</v>
      </c>
      <c r="AP5" s="47" t="s">
        <v>932</v>
      </c>
      <c r="AQ5" s="47" t="s">
        <v>933</v>
      </c>
      <c r="AR5" s="47" t="s">
        <v>934</v>
      </c>
      <c r="AS5" s="47" t="s">
        <v>935</v>
      </c>
      <c r="AT5" s="47" t="s">
        <v>936</v>
      </c>
      <c r="AU5" s="47" t="s">
        <v>937</v>
      </c>
    </row>
    <row r="6" spans="1:47" x14ac:dyDescent="0.25">
      <c r="A6" s="878"/>
      <c r="B6" s="209"/>
      <c r="C6" s="127"/>
      <c r="D6" s="127"/>
      <c r="E6" s="127"/>
      <c r="F6" s="127"/>
      <c r="G6" s="127"/>
      <c r="H6" s="127"/>
      <c r="I6" s="88"/>
      <c r="J6" s="88"/>
      <c r="K6" s="88"/>
      <c r="L6" s="88"/>
      <c r="M6" s="88"/>
      <c r="N6" s="127"/>
      <c r="O6" s="88" t="s">
        <v>8</v>
      </c>
      <c r="P6" s="47" t="s">
        <v>543</v>
      </c>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row>
    <row r="7" spans="1:47"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44196</v>
      </c>
      <c r="O7" s="9" t="s">
        <v>9</v>
      </c>
      <c r="P7" s="9" t="s">
        <v>546</v>
      </c>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row>
    <row r="8" spans="1:47" ht="14.4" thickTop="1" thickBot="1" x14ac:dyDescent="0.3">
      <c r="A8" s="908"/>
      <c r="B8" s="99" t="s">
        <v>228</v>
      </c>
      <c r="C8" s="132"/>
      <c r="D8" s="18"/>
      <c r="E8" s="18"/>
      <c r="F8" s="18"/>
      <c r="G8" s="18"/>
      <c r="H8" s="18"/>
      <c r="I8" s="19"/>
      <c r="J8" s="19"/>
      <c r="K8" s="19"/>
      <c r="L8" s="19"/>
      <c r="M8" s="19"/>
      <c r="N8" s="18"/>
      <c r="O8" s="19"/>
      <c r="P8" s="205"/>
      <c r="R8" s="205"/>
      <c r="S8" s="205"/>
      <c r="T8" s="205"/>
      <c r="U8" s="205"/>
      <c r="V8" s="205"/>
      <c r="W8" s="205"/>
      <c r="X8" s="205"/>
      <c r="Y8" s="205"/>
      <c r="Z8" s="205"/>
      <c r="AA8" s="205"/>
      <c r="AB8" s="205"/>
      <c r="AC8" s="205"/>
      <c r="AD8" s="205"/>
      <c r="AE8" s="205"/>
      <c r="AF8" s="205"/>
      <c r="AG8" s="205"/>
      <c r="AH8" s="205"/>
      <c r="AI8" s="205"/>
      <c r="AJ8" s="205"/>
      <c r="AK8" s="205"/>
      <c r="AL8" s="205"/>
      <c r="AM8" s="205"/>
      <c r="AN8" s="205"/>
      <c r="AO8" s="205"/>
      <c r="AP8" s="205"/>
      <c r="AQ8" s="205"/>
      <c r="AR8" s="205"/>
      <c r="AS8" s="205"/>
      <c r="AT8" s="205"/>
      <c r="AU8" s="205"/>
    </row>
    <row r="9" spans="1:47" x14ac:dyDescent="0.25">
      <c r="A9" s="881" t="s">
        <v>517</v>
      </c>
      <c r="B9" s="63" t="s">
        <v>525</v>
      </c>
      <c r="C9" s="250">
        <v>30000</v>
      </c>
      <c r="D9" s="233">
        <v>30000</v>
      </c>
      <c r="E9" s="233">
        <v>30000</v>
      </c>
      <c r="F9" s="233">
        <v>30000</v>
      </c>
      <c r="G9" s="233">
        <v>30000</v>
      </c>
      <c r="H9" s="233">
        <v>30000</v>
      </c>
      <c r="I9" s="233">
        <v>30000</v>
      </c>
      <c r="J9" s="233">
        <v>30000</v>
      </c>
      <c r="K9" s="125">
        <v>25000</v>
      </c>
      <c r="L9" s="233">
        <v>25000</v>
      </c>
      <c r="M9" s="125">
        <v>25000</v>
      </c>
      <c r="N9" s="37"/>
      <c r="O9" s="125">
        <f>+T9</f>
        <v>25000</v>
      </c>
      <c r="P9" s="38"/>
      <c r="R9" s="38">
        <v>25000</v>
      </c>
      <c r="S9" s="38">
        <v>25000</v>
      </c>
      <c r="T9" s="38">
        <v>25000</v>
      </c>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row>
    <row r="10" spans="1:47" x14ac:dyDescent="0.25">
      <c r="A10" s="881" t="s">
        <v>521</v>
      </c>
      <c r="B10" s="63" t="s">
        <v>526</v>
      </c>
      <c r="C10" s="250">
        <v>5000</v>
      </c>
      <c r="D10" s="233">
        <v>5000</v>
      </c>
      <c r="E10" s="233">
        <v>5000</v>
      </c>
      <c r="F10" s="233">
        <v>5000</v>
      </c>
      <c r="G10" s="233">
        <v>5000</v>
      </c>
      <c r="H10" s="233">
        <v>5000</v>
      </c>
      <c r="I10" s="233">
        <v>5000</v>
      </c>
      <c r="J10" s="233">
        <v>5000</v>
      </c>
      <c r="K10" s="125">
        <v>5000</v>
      </c>
      <c r="L10" s="233">
        <v>5000</v>
      </c>
      <c r="M10" s="125">
        <v>5000</v>
      </c>
      <c r="N10" s="37"/>
      <c r="O10" s="125">
        <f t="shared" ref="O10:O26" si="0">+T10</f>
        <v>0</v>
      </c>
      <c r="P10" s="38"/>
      <c r="R10" s="125">
        <v>5000</v>
      </c>
      <c r="S10" s="125">
        <v>5000</v>
      </c>
      <c r="T10" s="125"/>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row>
    <row r="11" spans="1:47" hidden="1" x14ac:dyDescent="0.25">
      <c r="A11" s="881" t="s">
        <v>516</v>
      </c>
      <c r="B11" s="63" t="s">
        <v>43</v>
      </c>
      <c r="C11" s="250">
        <v>14298.8</v>
      </c>
      <c r="D11" s="233">
        <v>14862.59</v>
      </c>
      <c r="E11" s="233">
        <v>15466.36</v>
      </c>
      <c r="F11" s="233">
        <v>14862.59</v>
      </c>
      <c r="G11" s="233">
        <v>14862.59</v>
      </c>
      <c r="H11" s="233">
        <v>5166.82</v>
      </c>
      <c r="I11" s="233">
        <v>0</v>
      </c>
      <c r="J11" s="233"/>
      <c r="K11" s="125"/>
      <c r="L11" s="233"/>
      <c r="M11" s="125"/>
      <c r="N11" s="37"/>
      <c r="O11" s="125">
        <f t="shared" si="0"/>
        <v>0</v>
      </c>
      <c r="P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row>
    <row r="12" spans="1:47" x14ac:dyDescent="0.25">
      <c r="A12" s="881" t="s">
        <v>403</v>
      </c>
      <c r="B12" s="63" t="s">
        <v>397</v>
      </c>
      <c r="C12" s="250">
        <v>25000</v>
      </c>
      <c r="D12" s="233">
        <f>15000+5000</f>
        <v>20000</v>
      </c>
      <c r="E12" s="233">
        <v>15000</v>
      </c>
      <c r="F12" s="233">
        <v>15000</v>
      </c>
      <c r="G12" s="233">
        <v>15000</v>
      </c>
      <c r="H12" s="233">
        <v>15000</v>
      </c>
      <c r="I12" s="233">
        <f>10000+5000</f>
        <v>15000</v>
      </c>
      <c r="J12" s="233">
        <v>15000</v>
      </c>
      <c r="K12" s="125">
        <v>15000</v>
      </c>
      <c r="L12" s="233">
        <v>15000</v>
      </c>
      <c r="M12" s="125">
        <v>10000</v>
      </c>
      <c r="N12" s="37">
        <v>10000</v>
      </c>
      <c r="O12" s="125">
        <f t="shared" si="0"/>
        <v>10000</v>
      </c>
      <c r="P12" s="38"/>
      <c r="R12" s="38">
        <v>15000</v>
      </c>
      <c r="S12" s="38">
        <v>10000</v>
      </c>
      <c r="T12" s="38">
        <v>10000</v>
      </c>
      <c r="U12" s="38">
        <v>10000</v>
      </c>
      <c r="V12" s="38">
        <v>10000</v>
      </c>
      <c r="W12" s="38">
        <v>10000</v>
      </c>
      <c r="X12" s="38">
        <v>10000</v>
      </c>
      <c r="Y12" s="38"/>
      <c r="Z12" s="38"/>
      <c r="AA12" s="38"/>
      <c r="AB12" s="38"/>
      <c r="AC12" s="38"/>
      <c r="AD12" s="38"/>
      <c r="AE12" s="38"/>
      <c r="AF12" s="38"/>
      <c r="AG12" s="38"/>
      <c r="AH12" s="38"/>
      <c r="AI12" s="38"/>
      <c r="AJ12" s="38"/>
      <c r="AK12" s="38"/>
      <c r="AL12" s="38"/>
      <c r="AM12" s="38"/>
      <c r="AN12" s="38"/>
      <c r="AO12" s="38"/>
      <c r="AP12" s="38"/>
      <c r="AQ12" s="38"/>
      <c r="AR12" s="38"/>
      <c r="AS12" s="38"/>
      <c r="AT12" s="38"/>
      <c r="AU12" s="38"/>
    </row>
    <row r="13" spans="1:47" x14ac:dyDescent="0.25">
      <c r="A13" s="881" t="s">
        <v>582</v>
      </c>
      <c r="B13" s="63" t="s">
        <v>36</v>
      </c>
      <c r="C13" s="250">
        <v>26122.2</v>
      </c>
      <c r="D13" s="233">
        <v>26649.599999999999</v>
      </c>
      <c r="E13" s="233">
        <v>27187.8</v>
      </c>
      <c r="F13" s="233">
        <v>27737.4</v>
      </c>
      <c r="G13" s="233">
        <v>28297.8</v>
      </c>
      <c r="H13" s="233">
        <v>28869</v>
      </c>
      <c r="I13" s="233">
        <v>29452.2</v>
      </c>
      <c r="J13" s="233">
        <v>30047.4</v>
      </c>
      <c r="K13" s="125">
        <v>31141</v>
      </c>
      <c r="L13" s="233">
        <v>30654.6</v>
      </c>
      <c r="M13" s="125">
        <v>31274</v>
      </c>
      <c r="N13" s="233">
        <v>31273.8</v>
      </c>
      <c r="O13" s="125">
        <f t="shared" si="0"/>
        <v>31906</v>
      </c>
      <c r="P13" s="38"/>
      <c r="R13" s="125">
        <f>+'Split Debt Service'!G35</f>
        <v>31141</v>
      </c>
      <c r="S13" s="125">
        <f>ROUND((+'Split Debt Service'!H35),0)</f>
        <v>31274</v>
      </c>
      <c r="T13" s="125">
        <f>+'Split Debt Service'!I35</f>
        <v>31906</v>
      </c>
      <c r="U13" s="125">
        <f>+'Split Debt Service'!J35</f>
        <v>32550</v>
      </c>
      <c r="V13" s="125">
        <f>+'Split Debt Service'!K35</f>
        <v>33208</v>
      </c>
      <c r="W13" s="125">
        <f>+'Split Debt Service'!L35</f>
        <v>33878</v>
      </c>
      <c r="X13" s="125">
        <f>+'Split Debt Service'!M35</f>
        <v>34563</v>
      </c>
      <c r="Y13" s="125">
        <f>+'Split Debt Service'!N35</f>
        <v>0</v>
      </c>
      <c r="Z13" s="125">
        <f>+'Split Debt Service'!O35</f>
        <v>0</v>
      </c>
      <c r="AA13" s="125">
        <f>+'Split Debt Service'!P35</f>
        <v>0</v>
      </c>
      <c r="AB13" s="125">
        <f>+'Split Debt Service'!Q35</f>
        <v>0</v>
      </c>
      <c r="AC13" s="125">
        <f>+'Split Debt Service'!R35</f>
        <v>0</v>
      </c>
      <c r="AD13" s="125">
        <f>+'Split Debt Service'!S35</f>
        <v>0</v>
      </c>
      <c r="AE13" s="125">
        <f>+'Split Debt Service'!T35</f>
        <v>0</v>
      </c>
      <c r="AF13" s="125">
        <f>+'Split Debt Service'!U35</f>
        <v>0</v>
      </c>
      <c r="AG13" s="125">
        <f>+'Split Debt Service'!V35</f>
        <v>0</v>
      </c>
      <c r="AH13" s="125">
        <f>+'Split Debt Service'!W35</f>
        <v>0</v>
      </c>
      <c r="AI13" s="125">
        <f>+'Split Debt Service'!X35</f>
        <v>0</v>
      </c>
      <c r="AJ13" s="125">
        <f>+'Split Debt Service'!Y35</f>
        <v>0</v>
      </c>
      <c r="AK13" s="125">
        <f>+'Split Debt Service'!Z35</f>
        <v>0</v>
      </c>
      <c r="AL13" s="125">
        <f>+'Split Debt Service'!AA35</f>
        <v>0</v>
      </c>
      <c r="AM13" s="125">
        <f>+'Split Debt Service'!AB35</f>
        <v>0</v>
      </c>
      <c r="AN13" s="125">
        <f>+'Split Debt Service'!AC35</f>
        <v>0</v>
      </c>
      <c r="AO13" s="125">
        <f>+'Split Debt Service'!AD35</f>
        <v>0</v>
      </c>
      <c r="AP13" s="125">
        <f>+'Split Debt Service'!AE35</f>
        <v>0</v>
      </c>
      <c r="AQ13" s="125">
        <f>+'Split Debt Service'!AF35</f>
        <v>0</v>
      </c>
      <c r="AR13" s="125">
        <f>+'Split Debt Service'!AG35</f>
        <v>0</v>
      </c>
      <c r="AS13" s="125">
        <f>+'Split Debt Service'!AH35</f>
        <v>0</v>
      </c>
      <c r="AT13" s="125">
        <f>+'Split Debt Service'!AI35</f>
        <v>0</v>
      </c>
      <c r="AU13" s="125">
        <f>+'Split Debt Service'!AJ35</f>
        <v>0</v>
      </c>
    </row>
    <row r="14" spans="1:47" x14ac:dyDescent="0.25">
      <c r="A14" s="881" t="s">
        <v>583</v>
      </c>
      <c r="B14" s="63" t="s">
        <v>37</v>
      </c>
      <c r="C14" s="250">
        <v>29077.200000000001</v>
      </c>
      <c r="D14" s="233">
        <v>29787.599999999999</v>
      </c>
      <c r="E14" s="233">
        <v>30515.4</v>
      </c>
      <c r="F14" s="233">
        <v>31261.200000000001</v>
      </c>
      <c r="G14" s="233">
        <v>32025</v>
      </c>
      <c r="H14" s="233">
        <v>32807.4</v>
      </c>
      <c r="I14" s="233">
        <v>33609.599999999999</v>
      </c>
      <c r="J14" s="233">
        <v>34430.400000000001</v>
      </c>
      <c r="K14" s="125">
        <v>35272</v>
      </c>
      <c r="L14" s="233">
        <v>35271.599999999999</v>
      </c>
      <c r="M14" s="125">
        <v>36134</v>
      </c>
      <c r="N14" s="233">
        <v>36133.800000000003</v>
      </c>
      <c r="O14" s="125">
        <f>ROUND((+T14),0)+1</f>
        <v>37017</v>
      </c>
      <c r="P14" s="38"/>
      <c r="R14" s="125">
        <f>+'Split Debt Service'!G36</f>
        <v>35272</v>
      </c>
      <c r="S14" s="125">
        <f>ROUND((+'Split Debt Service'!H36),0)</f>
        <v>36134</v>
      </c>
      <c r="T14" s="125">
        <f>+'Split Debt Service'!I36</f>
        <v>37016</v>
      </c>
      <c r="U14" s="125">
        <f>+'Split Debt Service'!J36</f>
        <v>37921</v>
      </c>
      <c r="V14" s="125">
        <f>+'Split Debt Service'!K36</f>
        <v>38848</v>
      </c>
      <c r="W14" s="125">
        <f>+'Split Debt Service'!L36</f>
        <v>39797</v>
      </c>
      <c r="X14" s="125">
        <f>+'Split Debt Service'!M36</f>
        <v>40769</v>
      </c>
      <c r="Y14" s="125">
        <f>+'Split Debt Service'!N36</f>
        <v>41765</v>
      </c>
      <c r="Z14" s="125">
        <f>+'Split Debt Service'!O36</f>
        <v>42786</v>
      </c>
      <c r="AA14" s="125">
        <f>+'Split Debt Service'!P36</f>
        <v>43832</v>
      </c>
      <c r="AB14" s="125">
        <f>+'Split Debt Service'!Q36</f>
        <v>44903</v>
      </c>
      <c r="AC14" s="125">
        <f>+'Split Debt Service'!R36</f>
        <v>46000</v>
      </c>
      <c r="AD14" s="125">
        <f>+'Split Debt Service'!S36</f>
        <v>47124</v>
      </c>
      <c r="AE14" s="125">
        <f>+'Split Debt Service'!T36</f>
        <v>48275</v>
      </c>
      <c r="AF14" s="125">
        <f>+'Split Debt Service'!U36</f>
        <v>49455</v>
      </c>
      <c r="AG14" s="125">
        <f>+'Split Debt Service'!V36</f>
        <v>50663</v>
      </c>
      <c r="AH14" s="125">
        <f>+'Split Debt Service'!W36</f>
        <v>51901</v>
      </c>
      <c r="AI14" s="125">
        <f>+'Split Debt Service'!X36</f>
        <v>53170</v>
      </c>
      <c r="AJ14" s="125">
        <f>+'Split Debt Service'!Y36</f>
        <v>0</v>
      </c>
      <c r="AK14" s="125">
        <f>+'Split Debt Service'!Z36</f>
        <v>0</v>
      </c>
      <c r="AL14" s="125">
        <f>+'Split Debt Service'!AA36</f>
        <v>0</v>
      </c>
      <c r="AM14" s="125">
        <f>+'Split Debt Service'!AB36</f>
        <v>0</v>
      </c>
      <c r="AN14" s="125">
        <f>+'Split Debt Service'!AC36</f>
        <v>0</v>
      </c>
      <c r="AO14" s="125">
        <f>+'Split Debt Service'!AD36</f>
        <v>0</v>
      </c>
      <c r="AP14" s="125">
        <f>+'Split Debt Service'!AE36</f>
        <v>0</v>
      </c>
      <c r="AQ14" s="125">
        <f>+'Split Debt Service'!AF36</f>
        <v>0</v>
      </c>
      <c r="AR14" s="125">
        <f>+'Split Debt Service'!AG36</f>
        <v>0</v>
      </c>
      <c r="AS14" s="125">
        <f>+'Split Debt Service'!AH36</f>
        <v>0</v>
      </c>
      <c r="AT14" s="125">
        <f>+'Split Debt Service'!AI36</f>
        <v>0</v>
      </c>
      <c r="AU14" s="125">
        <f>+'Split Debt Service'!AJ36</f>
        <v>0</v>
      </c>
    </row>
    <row r="15" spans="1:47" x14ac:dyDescent="0.25">
      <c r="A15" s="881" t="s">
        <v>584</v>
      </c>
      <c r="B15" s="63" t="s">
        <v>38</v>
      </c>
      <c r="C15" s="250">
        <v>8143.77</v>
      </c>
      <c r="D15" s="233">
        <v>8143.77</v>
      </c>
      <c r="E15" s="233">
        <v>8500.06</v>
      </c>
      <c r="F15" s="233">
        <v>8871.94</v>
      </c>
      <c r="G15" s="233">
        <v>9260.08</v>
      </c>
      <c r="H15" s="233">
        <v>9665.2099999999991</v>
      </c>
      <c r="I15" s="233">
        <v>10088.06</v>
      </c>
      <c r="J15" s="233">
        <v>10529.42</v>
      </c>
      <c r="K15" s="125">
        <v>12000</v>
      </c>
      <c r="L15" s="233">
        <v>12000</v>
      </c>
      <c r="M15" s="125">
        <v>12000</v>
      </c>
      <c r="N15" s="233"/>
      <c r="O15" s="125">
        <f t="shared" si="0"/>
        <v>12000</v>
      </c>
      <c r="P15" s="38"/>
      <c r="R15" s="125">
        <f>+'Split Debt Service'!G37</f>
        <v>12000</v>
      </c>
      <c r="S15" s="125">
        <f>ROUND((+'Split Debt Service'!H37),0)</f>
        <v>12000</v>
      </c>
      <c r="T15" s="125">
        <f>+'Split Debt Service'!I37</f>
        <v>12000</v>
      </c>
      <c r="U15" s="125">
        <f>+'Split Debt Service'!J37</f>
        <v>15000</v>
      </c>
      <c r="V15" s="125">
        <f>+'Split Debt Service'!K37</f>
        <v>15000</v>
      </c>
      <c r="W15" s="125">
        <f>+'Split Debt Service'!L37</f>
        <v>15000</v>
      </c>
      <c r="X15" s="125">
        <f>+'Split Debt Service'!M37</f>
        <v>15000</v>
      </c>
      <c r="Y15" s="125">
        <f>+'Split Debt Service'!N37</f>
        <v>18000</v>
      </c>
      <c r="Z15" s="125">
        <f>+'Split Debt Service'!O37</f>
        <v>18000</v>
      </c>
      <c r="AA15" s="125">
        <f>+'Split Debt Service'!P37</f>
        <v>18000</v>
      </c>
      <c r="AB15" s="125">
        <f>+'Split Debt Service'!Q37</f>
        <v>21000</v>
      </c>
      <c r="AC15" s="125">
        <f>+'Split Debt Service'!R37</f>
        <v>21000</v>
      </c>
      <c r="AD15" s="125">
        <f>+'Split Debt Service'!S37</f>
        <v>21000</v>
      </c>
      <c r="AE15" s="125">
        <f>+'Split Debt Service'!T37</f>
        <v>21000</v>
      </c>
      <c r="AF15" s="125">
        <f>+'Split Debt Service'!U37</f>
        <v>21000</v>
      </c>
      <c r="AG15" s="125">
        <f>+'Split Debt Service'!V37</f>
        <v>21000</v>
      </c>
      <c r="AH15" s="125">
        <f>+'Split Debt Service'!W37</f>
        <v>21000</v>
      </c>
      <c r="AI15" s="125">
        <f>+'Split Debt Service'!X37</f>
        <v>24000</v>
      </c>
      <c r="AJ15" s="125">
        <f>+'Split Debt Service'!Y37</f>
        <v>24000</v>
      </c>
      <c r="AK15" s="125">
        <f>+'Split Debt Service'!Z37</f>
        <v>24000</v>
      </c>
      <c r="AL15" s="125">
        <f>+'Split Debt Service'!AA37</f>
        <v>24000</v>
      </c>
      <c r="AM15" s="125">
        <f>+'Split Debt Service'!AB37</f>
        <v>24000</v>
      </c>
      <c r="AN15" s="125">
        <f>+'Split Debt Service'!AC37</f>
        <v>27000</v>
      </c>
      <c r="AO15" s="125">
        <f>+'Split Debt Service'!AD37</f>
        <v>27000</v>
      </c>
      <c r="AP15" s="125">
        <f>+'Split Debt Service'!AE37</f>
        <v>27000</v>
      </c>
      <c r="AQ15" s="125">
        <f>+'Split Debt Service'!AF37</f>
        <v>0</v>
      </c>
      <c r="AR15" s="125">
        <f>+'Split Debt Service'!AG37</f>
        <v>0</v>
      </c>
      <c r="AS15" s="125">
        <f>+'Split Debt Service'!AH37</f>
        <v>0</v>
      </c>
      <c r="AT15" s="125">
        <f>+'Split Debt Service'!AI37</f>
        <v>0</v>
      </c>
      <c r="AU15" s="125">
        <f>+'Split Debt Service'!AJ37</f>
        <v>0</v>
      </c>
    </row>
    <row r="16" spans="1:47" x14ac:dyDescent="0.25">
      <c r="A16" s="881" t="s">
        <v>585</v>
      </c>
      <c r="B16" s="63" t="s">
        <v>352</v>
      </c>
      <c r="C16" s="250">
        <v>7219.2</v>
      </c>
      <c r="D16" s="233">
        <v>7517</v>
      </c>
      <c r="E16" s="233">
        <v>7827.38</v>
      </c>
      <c r="F16" s="233">
        <v>8150.26</v>
      </c>
      <c r="G16" s="233">
        <v>8486.4599999999991</v>
      </c>
      <c r="H16" s="233">
        <v>8836.51</v>
      </c>
      <c r="I16" s="233">
        <v>9201.0300000000007</v>
      </c>
      <c r="J16" s="233">
        <v>9580.57</v>
      </c>
      <c r="K16" s="125">
        <v>9976</v>
      </c>
      <c r="L16" s="233">
        <v>9975.77</v>
      </c>
      <c r="M16" s="125">
        <v>10388</v>
      </c>
      <c r="N16" s="233">
        <v>10387.280000000001</v>
      </c>
      <c r="O16" s="125">
        <f t="shared" si="0"/>
        <v>10816</v>
      </c>
      <c r="P16" s="38"/>
      <c r="R16" s="125">
        <f>+'Split Debt Service'!G38</f>
        <v>9976</v>
      </c>
      <c r="S16" s="125">
        <f>ROUND((+'Split Debt Service'!H38),0)</f>
        <v>10388</v>
      </c>
      <c r="T16" s="125">
        <f>+'Split Debt Service'!I38</f>
        <v>10816</v>
      </c>
      <c r="U16" s="125">
        <f>+'Split Debt Service'!J38</f>
        <v>11262</v>
      </c>
      <c r="V16" s="125">
        <f>+'Split Debt Service'!K38</f>
        <v>11727</v>
      </c>
      <c r="W16" s="125">
        <f>+'Split Debt Service'!L38</f>
        <v>12211</v>
      </c>
      <c r="X16" s="125">
        <f>+'Split Debt Service'!M38</f>
        <v>12714</v>
      </c>
      <c r="Y16" s="125">
        <f>+'Split Debt Service'!N38</f>
        <v>13238</v>
      </c>
      <c r="Z16" s="125">
        <f>+'Split Debt Service'!O38</f>
        <v>13784</v>
      </c>
      <c r="AA16" s="125">
        <f>+'Split Debt Service'!P38</f>
        <v>14353</v>
      </c>
      <c r="AB16" s="125">
        <f>+'Split Debt Service'!Q38</f>
        <v>14945</v>
      </c>
      <c r="AC16" s="125">
        <f>+'Split Debt Service'!R38</f>
        <v>15562</v>
      </c>
      <c r="AD16" s="125">
        <f>+'Split Debt Service'!S38</f>
        <v>16204</v>
      </c>
      <c r="AE16" s="125">
        <f>+'Split Debt Service'!T38</f>
        <v>16872</v>
      </c>
      <c r="AF16" s="125">
        <f>+'Split Debt Service'!U38</f>
        <v>17568</v>
      </c>
      <c r="AG16" s="125">
        <f>+'Split Debt Service'!V38</f>
        <v>18293</v>
      </c>
      <c r="AH16" s="125">
        <f>+'Split Debt Service'!W38</f>
        <v>19048</v>
      </c>
      <c r="AI16" s="125">
        <f>+'Split Debt Service'!X38</f>
        <v>19833</v>
      </c>
      <c r="AJ16" s="125">
        <f>+'Split Debt Service'!Y38</f>
        <v>20651</v>
      </c>
      <c r="AK16" s="125">
        <f>+'Split Debt Service'!Z38</f>
        <v>21503</v>
      </c>
      <c r="AL16" s="125">
        <f>+'Split Debt Service'!AA38</f>
        <v>22390</v>
      </c>
      <c r="AM16" s="125">
        <f>+'Split Debt Service'!AB38</f>
        <v>23314</v>
      </c>
      <c r="AN16" s="125">
        <f>+'Split Debt Service'!AC38</f>
        <v>24275</v>
      </c>
      <c r="AO16" s="125">
        <f>+'Split Debt Service'!AD38</f>
        <v>25277</v>
      </c>
      <c r="AP16" s="125">
        <f>+'Split Debt Service'!AE38</f>
        <v>26319</v>
      </c>
      <c r="AQ16" s="125">
        <f>+'Split Debt Service'!AF38</f>
        <v>27405</v>
      </c>
      <c r="AR16" s="125">
        <f>+'Split Debt Service'!AG38</f>
        <v>28535</v>
      </c>
      <c r="AS16" s="125">
        <f>+'Split Debt Service'!AH38</f>
        <v>29528</v>
      </c>
      <c r="AT16" s="125">
        <f>+'Split Debt Service'!AI38</f>
        <v>0</v>
      </c>
      <c r="AU16" s="125">
        <f>+'Split Debt Service'!AJ38</f>
        <v>0</v>
      </c>
    </row>
    <row r="17" spans="1:48" hidden="1" x14ac:dyDescent="0.25">
      <c r="A17" s="881" t="s">
        <v>586</v>
      </c>
      <c r="B17" s="63" t="s">
        <v>42</v>
      </c>
      <c r="C17" s="130">
        <v>62002</v>
      </c>
      <c r="D17" s="233">
        <v>63829</v>
      </c>
      <c r="E17" s="233">
        <v>65775</v>
      </c>
      <c r="F17" s="233">
        <v>67796</v>
      </c>
      <c r="G17" s="233">
        <v>69879</v>
      </c>
      <c r="H17" s="233"/>
      <c r="I17" s="233">
        <v>0</v>
      </c>
      <c r="J17" s="233"/>
      <c r="K17" s="125"/>
      <c r="L17" s="233"/>
      <c r="M17" s="125"/>
      <c r="N17" s="37"/>
      <c r="O17" s="125">
        <f t="shared" si="0"/>
        <v>0</v>
      </c>
      <c r="P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row>
    <row r="18" spans="1:48" x14ac:dyDescent="0.25">
      <c r="A18" s="881" t="s">
        <v>896</v>
      </c>
      <c r="B18" s="63" t="s">
        <v>940</v>
      </c>
      <c r="C18" s="250"/>
      <c r="D18" s="37"/>
      <c r="E18" s="37">
        <v>65000</v>
      </c>
      <c r="F18" s="37">
        <v>55000</v>
      </c>
      <c r="G18" s="37">
        <v>55000</v>
      </c>
      <c r="H18" s="37"/>
      <c r="I18" s="37">
        <v>60000</v>
      </c>
      <c r="J18" s="37">
        <v>65000</v>
      </c>
      <c r="K18" s="38">
        <v>65000</v>
      </c>
      <c r="L18" s="37">
        <v>65000</v>
      </c>
      <c r="M18" s="38">
        <v>70000</v>
      </c>
      <c r="N18" s="37"/>
      <c r="O18" s="125">
        <f t="shared" si="0"/>
        <v>70000</v>
      </c>
      <c r="P18" s="38"/>
      <c r="R18" s="38">
        <v>65000</v>
      </c>
      <c r="S18" s="38">
        <v>70000</v>
      </c>
      <c r="T18" s="38">
        <v>70000</v>
      </c>
      <c r="U18" s="38">
        <v>75000</v>
      </c>
      <c r="V18" s="38">
        <v>75000</v>
      </c>
      <c r="W18" s="38">
        <v>80000</v>
      </c>
      <c r="X18" s="38">
        <v>80000</v>
      </c>
      <c r="Y18" s="38">
        <v>85000</v>
      </c>
      <c r="Z18" s="38">
        <v>90000</v>
      </c>
      <c r="AA18" s="38">
        <v>90000</v>
      </c>
      <c r="AB18" s="38">
        <v>95000</v>
      </c>
      <c r="AC18" s="38">
        <v>100000</v>
      </c>
      <c r="AD18" s="38">
        <v>105000</v>
      </c>
      <c r="AE18" s="38">
        <v>110000</v>
      </c>
      <c r="AF18" s="38"/>
      <c r="AG18" s="38"/>
      <c r="AH18" s="38"/>
      <c r="AI18" s="38"/>
      <c r="AJ18" s="38"/>
      <c r="AK18" s="38"/>
      <c r="AL18" s="38"/>
      <c r="AM18" s="38"/>
      <c r="AN18" s="38"/>
      <c r="AO18" s="38"/>
      <c r="AP18" s="38"/>
      <c r="AQ18" s="38"/>
      <c r="AR18" s="38"/>
      <c r="AS18" s="38"/>
      <c r="AT18" s="38"/>
      <c r="AU18" s="38"/>
    </row>
    <row r="19" spans="1:48" x14ac:dyDescent="0.25">
      <c r="A19" s="881" t="s">
        <v>1027</v>
      </c>
      <c r="B19" s="12" t="s">
        <v>1286</v>
      </c>
      <c r="C19" s="37"/>
      <c r="D19" s="37"/>
      <c r="E19" s="37"/>
      <c r="F19" s="37"/>
      <c r="G19" s="37"/>
      <c r="H19" s="37">
        <v>60000</v>
      </c>
      <c r="I19" s="37">
        <v>0</v>
      </c>
      <c r="J19" s="37">
        <v>64036</v>
      </c>
      <c r="K19" s="38">
        <v>65428</v>
      </c>
      <c r="L19" s="37">
        <v>65428</v>
      </c>
      <c r="M19" s="38">
        <v>66850</v>
      </c>
      <c r="N19" s="37">
        <v>66850</v>
      </c>
      <c r="O19" s="125">
        <f t="shared" si="0"/>
        <v>68302</v>
      </c>
      <c r="P19" s="38"/>
      <c r="R19" s="125">
        <v>65428</v>
      </c>
      <c r="S19" s="125">
        <v>66850</v>
      </c>
      <c r="T19" s="125">
        <v>68302</v>
      </c>
      <c r="U19" s="125">
        <v>69787</v>
      </c>
      <c r="V19" s="125">
        <v>71304</v>
      </c>
      <c r="W19" s="125">
        <v>72853</v>
      </c>
      <c r="X19" s="125">
        <v>74437</v>
      </c>
      <c r="Y19" s="125">
        <v>76054</v>
      </c>
      <c r="Z19" s="125">
        <v>77707</v>
      </c>
      <c r="AA19" s="125">
        <v>79396</v>
      </c>
      <c r="AB19" s="125">
        <v>81122</v>
      </c>
      <c r="AC19" s="125">
        <v>82855</v>
      </c>
      <c r="AD19" s="125">
        <v>84686</v>
      </c>
      <c r="AE19" s="125">
        <v>86527</v>
      </c>
      <c r="AF19" s="125">
        <v>88407</v>
      </c>
      <c r="AG19" s="125">
        <v>90329</v>
      </c>
      <c r="AH19" s="125">
        <v>92292</v>
      </c>
      <c r="AI19" s="38">
        <v>94298</v>
      </c>
      <c r="AJ19" s="38">
        <v>96347</v>
      </c>
      <c r="AK19" s="38"/>
      <c r="AL19" s="38"/>
      <c r="AM19" s="38"/>
      <c r="AN19" s="38"/>
      <c r="AO19" s="38"/>
      <c r="AP19" s="38"/>
      <c r="AQ19" s="38"/>
      <c r="AR19" s="38"/>
      <c r="AS19" s="38"/>
      <c r="AT19" s="38"/>
      <c r="AU19" s="38"/>
    </row>
    <row r="20" spans="1:48" x14ac:dyDescent="0.25">
      <c r="A20" s="881" t="s">
        <v>1042</v>
      </c>
      <c r="B20" s="12" t="s">
        <v>1044</v>
      </c>
      <c r="C20" s="37"/>
      <c r="D20" s="37"/>
      <c r="E20" s="37"/>
      <c r="F20" s="37"/>
      <c r="G20" s="37"/>
      <c r="H20" s="37"/>
      <c r="I20" s="37">
        <v>0</v>
      </c>
      <c r="J20" s="37">
        <v>2000</v>
      </c>
      <c r="K20" s="38">
        <v>4000</v>
      </c>
      <c r="L20" s="37">
        <v>4000</v>
      </c>
      <c r="M20" s="38">
        <v>4000</v>
      </c>
      <c r="N20" s="37">
        <v>4000</v>
      </c>
      <c r="O20" s="125">
        <f t="shared" si="0"/>
        <v>5000</v>
      </c>
      <c r="P20" s="38"/>
      <c r="R20" s="125">
        <v>4000</v>
      </c>
      <c r="S20" s="125">
        <v>4000</v>
      </c>
      <c r="T20" s="125">
        <v>5000</v>
      </c>
      <c r="U20" s="125">
        <v>5000</v>
      </c>
      <c r="V20" s="125">
        <v>5000</v>
      </c>
      <c r="W20" s="125">
        <v>5000</v>
      </c>
      <c r="X20" s="125">
        <v>5000</v>
      </c>
      <c r="Y20" s="125">
        <v>5000</v>
      </c>
      <c r="Z20" s="125">
        <v>6000</v>
      </c>
      <c r="AA20" s="125">
        <v>6000</v>
      </c>
      <c r="AB20" s="125">
        <v>6000</v>
      </c>
      <c r="AC20" s="125">
        <v>6000</v>
      </c>
      <c r="AD20" s="125">
        <v>6000</v>
      </c>
      <c r="AE20" s="125">
        <v>7000</v>
      </c>
      <c r="AF20" s="125">
        <v>7000</v>
      </c>
      <c r="AG20" s="125">
        <v>7000</v>
      </c>
      <c r="AH20" s="125">
        <v>7000</v>
      </c>
      <c r="AI20" s="38">
        <v>7000</v>
      </c>
      <c r="AJ20" s="38">
        <v>8000</v>
      </c>
      <c r="AK20" s="38">
        <v>8000</v>
      </c>
      <c r="AL20" s="38">
        <v>8000</v>
      </c>
      <c r="AM20" s="38">
        <v>8000</v>
      </c>
      <c r="AN20" s="38">
        <v>9000</v>
      </c>
      <c r="AO20" s="38">
        <v>8000</v>
      </c>
      <c r="AP20" s="38"/>
      <c r="AQ20" s="38"/>
      <c r="AR20" s="38"/>
      <c r="AS20" s="38"/>
      <c r="AT20" s="38"/>
      <c r="AU20" s="38"/>
    </row>
    <row r="21" spans="1:48" x14ac:dyDescent="0.25">
      <c r="A21" s="881" t="s">
        <v>1043</v>
      </c>
      <c r="B21" s="12" t="s">
        <v>1289</v>
      </c>
      <c r="C21" s="37"/>
      <c r="D21" s="37"/>
      <c r="E21" s="37"/>
      <c r="F21" s="37"/>
      <c r="G21" s="37"/>
      <c r="H21" s="37"/>
      <c r="I21" s="37">
        <v>0</v>
      </c>
      <c r="J21" s="37">
        <v>5000</v>
      </c>
      <c r="K21" s="38">
        <v>10000</v>
      </c>
      <c r="L21" s="37">
        <v>10000</v>
      </c>
      <c r="M21" s="38">
        <v>10000</v>
      </c>
      <c r="N21" s="37">
        <v>10000</v>
      </c>
      <c r="O21" s="125">
        <f t="shared" si="0"/>
        <v>11000</v>
      </c>
      <c r="P21" s="38"/>
      <c r="R21" s="125">
        <v>10000</v>
      </c>
      <c r="S21" s="125">
        <v>10000</v>
      </c>
      <c r="T21" s="125">
        <v>11000</v>
      </c>
      <c r="U21" s="125">
        <v>12000</v>
      </c>
      <c r="V21" s="125">
        <v>12000</v>
      </c>
      <c r="W21" s="125">
        <v>12000</v>
      </c>
      <c r="X21" s="125">
        <v>13000</v>
      </c>
      <c r="Y21" s="125">
        <v>13000</v>
      </c>
      <c r="Z21" s="125">
        <v>14000</v>
      </c>
      <c r="AA21" s="125">
        <v>14000</v>
      </c>
      <c r="AB21" s="125">
        <v>15000</v>
      </c>
      <c r="AC21" s="125">
        <v>15000</v>
      </c>
      <c r="AD21" s="125">
        <v>15000</v>
      </c>
      <c r="AE21" s="125">
        <v>16000</v>
      </c>
      <c r="AF21" s="125">
        <v>16000</v>
      </c>
      <c r="AG21" s="125">
        <v>17000</v>
      </c>
      <c r="AH21" s="125">
        <v>18000</v>
      </c>
      <c r="AI21" s="38">
        <v>18000</v>
      </c>
      <c r="AJ21" s="38">
        <v>19000</v>
      </c>
      <c r="AK21" s="38">
        <v>19000</v>
      </c>
      <c r="AL21" s="38">
        <v>20000</v>
      </c>
      <c r="AM21" s="38">
        <v>21000</v>
      </c>
      <c r="AN21" s="38">
        <v>21000</v>
      </c>
      <c r="AO21" s="38">
        <v>21000</v>
      </c>
      <c r="AP21" s="38"/>
      <c r="AQ21" s="38"/>
      <c r="AR21" s="38"/>
      <c r="AS21" s="38"/>
      <c r="AT21" s="38"/>
      <c r="AU21" s="38"/>
    </row>
    <row r="22" spans="1:48" x14ac:dyDescent="0.25">
      <c r="A22" s="881" t="s">
        <v>1106</v>
      </c>
      <c r="B22" s="12" t="s">
        <v>1102</v>
      </c>
      <c r="C22" s="37"/>
      <c r="D22" s="37"/>
      <c r="E22" s="37"/>
      <c r="F22" s="37"/>
      <c r="G22" s="37"/>
      <c r="H22" s="37"/>
      <c r="I22" s="37">
        <v>0</v>
      </c>
      <c r="J22" s="37">
        <v>5000</v>
      </c>
      <c r="K22" s="38">
        <v>10000</v>
      </c>
      <c r="L22" s="37">
        <v>10000</v>
      </c>
      <c r="M22" s="38">
        <v>10000</v>
      </c>
      <c r="N22" s="37">
        <v>10000</v>
      </c>
      <c r="O22" s="125">
        <f t="shared" si="0"/>
        <v>11000</v>
      </c>
      <c r="P22" s="38"/>
      <c r="R22" s="125">
        <v>10000</v>
      </c>
      <c r="S22" s="125">
        <v>10000</v>
      </c>
      <c r="T22" s="125">
        <v>11000</v>
      </c>
      <c r="U22" s="125">
        <v>11000</v>
      </c>
      <c r="V22" s="125">
        <v>11000</v>
      </c>
      <c r="W22" s="125">
        <v>12000</v>
      </c>
      <c r="X22" s="125">
        <v>12000</v>
      </c>
      <c r="Y22" s="125">
        <v>13000</v>
      </c>
      <c r="Z22" s="125">
        <v>13000</v>
      </c>
      <c r="AA22" s="125">
        <v>14000</v>
      </c>
      <c r="AB22" s="125">
        <v>14000</v>
      </c>
      <c r="AC22" s="125">
        <v>14000</v>
      </c>
      <c r="AD22" s="125">
        <v>15000</v>
      </c>
      <c r="AE22" s="125">
        <v>15000</v>
      </c>
      <c r="AF22" s="125">
        <v>16000</v>
      </c>
      <c r="AG22" s="125">
        <v>16000</v>
      </c>
      <c r="AH22" s="125">
        <v>17000</v>
      </c>
      <c r="AI22" s="38">
        <v>17000</v>
      </c>
      <c r="AJ22" s="38">
        <v>18000</v>
      </c>
      <c r="AK22" s="38">
        <v>19000</v>
      </c>
      <c r="AL22" s="38">
        <v>19000</v>
      </c>
      <c r="AM22" s="38">
        <v>20000</v>
      </c>
      <c r="AN22" s="38">
        <v>21000</v>
      </c>
      <c r="AO22" s="38">
        <v>20000</v>
      </c>
      <c r="AP22" s="38"/>
      <c r="AQ22" s="38"/>
      <c r="AR22" s="38"/>
      <c r="AS22" s="38"/>
      <c r="AT22" s="38"/>
      <c r="AU22" s="38"/>
    </row>
    <row r="23" spans="1:48" x14ac:dyDescent="0.25">
      <c r="A23" s="881" t="s">
        <v>1109</v>
      </c>
      <c r="B23" s="12" t="s">
        <v>1290</v>
      </c>
      <c r="C23" s="37"/>
      <c r="D23" s="37"/>
      <c r="E23" s="37"/>
      <c r="F23" s="37"/>
      <c r="G23" s="37"/>
      <c r="H23" s="37">
        <v>5000</v>
      </c>
      <c r="I23" s="37">
        <v>0</v>
      </c>
      <c r="J23" s="37">
        <v>1000</v>
      </c>
      <c r="K23" s="38">
        <v>3000</v>
      </c>
      <c r="L23" s="37">
        <v>3000</v>
      </c>
      <c r="M23" s="38">
        <v>3000</v>
      </c>
      <c r="N23" s="37">
        <v>3000</v>
      </c>
      <c r="O23" s="125">
        <f t="shared" si="0"/>
        <v>3000</v>
      </c>
      <c r="P23" s="38"/>
      <c r="R23" s="125">
        <v>3000</v>
      </c>
      <c r="S23" s="125">
        <v>3000</v>
      </c>
      <c r="T23" s="125">
        <v>3000</v>
      </c>
      <c r="U23" s="125">
        <v>3000</v>
      </c>
      <c r="V23" s="125">
        <v>3000</v>
      </c>
      <c r="W23" s="125">
        <v>3000</v>
      </c>
      <c r="X23" s="125">
        <v>3000</v>
      </c>
      <c r="Y23" s="125">
        <v>4000</v>
      </c>
      <c r="Z23" s="125">
        <v>4000</v>
      </c>
      <c r="AA23" s="125">
        <v>4000</v>
      </c>
      <c r="AB23" s="125">
        <v>4000</v>
      </c>
      <c r="AC23" s="125">
        <v>4000</v>
      </c>
      <c r="AD23" s="125">
        <v>4000</v>
      </c>
      <c r="AE23" s="125">
        <v>4000</v>
      </c>
      <c r="AF23" s="125">
        <v>4000</v>
      </c>
      <c r="AG23" s="125">
        <v>4000</v>
      </c>
      <c r="AH23" s="125">
        <v>5000</v>
      </c>
      <c r="AI23" s="38">
        <v>5000</v>
      </c>
      <c r="AJ23" s="38">
        <v>5000</v>
      </c>
      <c r="AK23" s="38">
        <v>5000</v>
      </c>
      <c r="AL23" s="38">
        <v>5000</v>
      </c>
      <c r="AM23" s="38">
        <v>6000</v>
      </c>
      <c r="AN23" s="38">
        <v>6000</v>
      </c>
      <c r="AO23" s="38">
        <v>5000</v>
      </c>
      <c r="AP23" s="38"/>
      <c r="AQ23" s="38"/>
      <c r="AR23" s="38"/>
      <c r="AS23" s="38"/>
      <c r="AT23" s="38"/>
      <c r="AU23" s="38"/>
    </row>
    <row r="24" spans="1:48" x14ac:dyDescent="0.25">
      <c r="A24" s="881" t="s">
        <v>1287</v>
      </c>
      <c r="B24" s="12" t="s">
        <v>1288</v>
      </c>
      <c r="C24" s="37"/>
      <c r="D24" s="37"/>
      <c r="E24" s="37"/>
      <c r="F24" s="37"/>
      <c r="G24" s="37"/>
      <c r="H24" s="37"/>
      <c r="I24" s="37"/>
      <c r="J24" s="37">
        <v>5000</v>
      </c>
      <c r="K24" s="38">
        <v>10000</v>
      </c>
      <c r="L24" s="37">
        <v>10000</v>
      </c>
      <c r="M24" s="38">
        <v>11000</v>
      </c>
      <c r="N24" s="37">
        <v>11000</v>
      </c>
      <c r="O24" s="125">
        <f t="shared" si="0"/>
        <v>11000</v>
      </c>
      <c r="P24" s="38"/>
      <c r="R24" s="125">
        <v>10000</v>
      </c>
      <c r="S24" s="125">
        <v>11000</v>
      </c>
      <c r="T24" s="125">
        <v>11000</v>
      </c>
      <c r="U24" s="125">
        <v>12000</v>
      </c>
      <c r="V24" s="125">
        <v>12000</v>
      </c>
      <c r="W24" s="125">
        <v>13000</v>
      </c>
      <c r="X24" s="125">
        <v>13000</v>
      </c>
      <c r="Y24" s="125">
        <v>14000</v>
      </c>
      <c r="Z24" s="125">
        <v>14000</v>
      </c>
      <c r="AA24" s="125">
        <v>15000</v>
      </c>
      <c r="AB24" s="125">
        <v>15000</v>
      </c>
      <c r="AC24" s="125">
        <v>16000</v>
      </c>
      <c r="AD24" s="125">
        <v>16000</v>
      </c>
      <c r="AE24" s="125">
        <v>17000</v>
      </c>
      <c r="AF24" s="125">
        <v>17000</v>
      </c>
      <c r="AG24" s="125">
        <v>18000</v>
      </c>
      <c r="AH24" s="125">
        <v>18000</v>
      </c>
      <c r="AI24" s="125">
        <v>19000</v>
      </c>
      <c r="AJ24" s="38">
        <v>20000</v>
      </c>
      <c r="AK24" s="38">
        <v>20000</v>
      </c>
      <c r="AL24" s="38">
        <v>21000</v>
      </c>
      <c r="AM24" s="38">
        <v>22000</v>
      </c>
      <c r="AN24" s="38">
        <v>22000</v>
      </c>
      <c r="AO24" s="38">
        <v>22000</v>
      </c>
      <c r="AP24" s="38"/>
      <c r="AQ24" s="38"/>
      <c r="AR24" s="38"/>
      <c r="AS24" s="38"/>
      <c r="AT24" s="38"/>
      <c r="AU24" s="38"/>
    </row>
    <row r="25" spans="1:48" ht="13.8" thickBot="1" x14ac:dyDescent="0.3">
      <c r="A25" s="908" t="s">
        <v>1284</v>
      </c>
      <c r="B25" s="29" t="s">
        <v>1285</v>
      </c>
      <c r="C25" s="37"/>
      <c r="D25" s="37"/>
      <c r="E25" s="37"/>
      <c r="F25" s="37"/>
      <c r="G25" s="37"/>
      <c r="H25" s="37"/>
      <c r="I25" s="37"/>
      <c r="J25" s="37">
        <v>1000</v>
      </c>
      <c r="K25" s="38">
        <v>2000</v>
      </c>
      <c r="L25" s="37">
        <v>2000</v>
      </c>
      <c r="M25" s="38">
        <v>2000</v>
      </c>
      <c r="N25" s="37">
        <v>2000</v>
      </c>
      <c r="O25" s="125">
        <f t="shared" si="0"/>
        <v>2000</v>
      </c>
      <c r="P25" s="38"/>
      <c r="R25" s="125">
        <v>2000</v>
      </c>
      <c r="S25" s="125">
        <v>2000</v>
      </c>
      <c r="T25" s="125">
        <v>2000</v>
      </c>
      <c r="U25" s="125">
        <v>2000</v>
      </c>
      <c r="V25" s="125">
        <v>2000</v>
      </c>
      <c r="W25" s="125">
        <v>2000</v>
      </c>
      <c r="X25" s="125">
        <v>2000</v>
      </c>
      <c r="Y25" s="125">
        <v>2000</v>
      </c>
      <c r="Z25" s="125">
        <v>2000</v>
      </c>
      <c r="AA25" s="125">
        <v>2000</v>
      </c>
      <c r="AB25" s="125">
        <v>3000</v>
      </c>
      <c r="AC25" s="125">
        <v>3000</v>
      </c>
      <c r="AD25" s="125">
        <v>3000</v>
      </c>
      <c r="AE25" s="125">
        <v>3000</v>
      </c>
      <c r="AF25" s="125">
        <v>3000</v>
      </c>
      <c r="AG25" s="125">
        <v>3000</v>
      </c>
      <c r="AH25" s="125">
        <v>3000</v>
      </c>
      <c r="AI25" s="38">
        <v>3000</v>
      </c>
      <c r="AJ25" s="38">
        <v>2000</v>
      </c>
      <c r="AK25" s="38">
        <v>3000</v>
      </c>
      <c r="AL25" s="38">
        <v>3000</v>
      </c>
      <c r="AM25" s="38">
        <v>4000</v>
      </c>
      <c r="AN25" s="38">
        <v>4000</v>
      </c>
      <c r="AO25" s="38">
        <v>4000</v>
      </c>
      <c r="AP25" s="38"/>
      <c r="AQ25" s="38"/>
      <c r="AR25" s="38"/>
      <c r="AS25" s="38"/>
      <c r="AT25" s="38"/>
      <c r="AU25" s="38"/>
    </row>
    <row r="26" spans="1:48" ht="13.8" hidden="1" thickBot="1" x14ac:dyDescent="0.3">
      <c r="A26" s="881" t="s">
        <v>1305</v>
      </c>
      <c r="B26" s="12" t="s">
        <v>1193</v>
      </c>
      <c r="C26" s="37"/>
      <c r="D26" s="37"/>
      <c r="E26" s="37"/>
      <c r="F26" s="37"/>
      <c r="G26" s="37"/>
      <c r="H26" s="37"/>
      <c r="I26" s="37"/>
      <c r="J26" s="37"/>
      <c r="K26" s="38"/>
      <c r="L26" s="37"/>
      <c r="M26" s="38"/>
      <c r="N26" s="37"/>
      <c r="O26" s="125">
        <f t="shared" si="0"/>
        <v>0</v>
      </c>
      <c r="P26" s="38"/>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38"/>
      <c r="AO26" s="38"/>
      <c r="AP26" s="38"/>
      <c r="AQ26" s="38"/>
      <c r="AR26" s="38"/>
      <c r="AS26" s="38"/>
      <c r="AT26" s="38"/>
      <c r="AU26" s="38"/>
    </row>
    <row r="27" spans="1:48" ht="13.8" hidden="1" thickBot="1" x14ac:dyDescent="0.3">
      <c r="A27" s="881"/>
      <c r="B27" s="12"/>
      <c r="C27" s="37"/>
      <c r="D27" s="37"/>
      <c r="E27" s="37"/>
      <c r="F27" s="37"/>
      <c r="G27" s="37"/>
      <c r="H27" s="37"/>
      <c r="I27" s="37"/>
      <c r="J27" s="37"/>
      <c r="K27" s="38"/>
      <c r="L27" s="37"/>
      <c r="M27" s="38"/>
      <c r="N27" s="37"/>
      <c r="O27" s="125">
        <f>+T27</f>
        <v>0</v>
      </c>
      <c r="P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row>
    <row r="28" spans="1:48" ht="13.8" hidden="1" thickBot="1" x14ac:dyDescent="0.3">
      <c r="A28" s="881"/>
      <c r="B28" s="12" t="s">
        <v>524</v>
      </c>
      <c r="C28" s="15"/>
      <c r="D28" s="310"/>
      <c r="E28" s="310"/>
      <c r="F28" s="310"/>
      <c r="G28" s="310"/>
      <c r="H28" s="310"/>
      <c r="I28" s="1018"/>
      <c r="J28" s="1018"/>
      <c r="K28" s="1013"/>
      <c r="L28" s="1018"/>
      <c r="M28" s="1013"/>
      <c r="N28" s="37"/>
      <c r="O28" s="1013"/>
      <c r="P28" s="1013"/>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row>
    <row r="29" spans="1:48" ht="13.8" thickTop="1" x14ac:dyDescent="0.25">
      <c r="A29" s="881"/>
      <c r="B29" s="17" t="s">
        <v>228</v>
      </c>
      <c r="C29" s="18">
        <f t="shared" ref="C29:N29" si="1">SUM(C9:C28)</f>
        <v>206863.17</v>
      </c>
      <c r="D29" s="18">
        <f t="shared" si="1"/>
        <v>205789.56</v>
      </c>
      <c r="E29" s="18">
        <f t="shared" si="1"/>
        <v>270272</v>
      </c>
      <c r="F29" s="18">
        <f t="shared" si="1"/>
        <v>263679.39</v>
      </c>
      <c r="G29" s="18">
        <f t="shared" si="1"/>
        <v>267810.93</v>
      </c>
      <c r="H29" s="18">
        <f t="shared" si="1"/>
        <v>200344.94</v>
      </c>
      <c r="I29" s="1016">
        <f t="shared" si="1"/>
        <v>192350.88999999998</v>
      </c>
      <c r="J29" s="1016">
        <f t="shared" si="1"/>
        <v>282623.78999999998</v>
      </c>
      <c r="K29" s="1017">
        <f t="shared" si="1"/>
        <v>302817</v>
      </c>
      <c r="L29" s="1016">
        <f t="shared" si="1"/>
        <v>302329.96999999997</v>
      </c>
      <c r="M29" s="1017">
        <f t="shared" si="1"/>
        <v>306646</v>
      </c>
      <c r="N29" s="1016">
        <f t="shared" si="1"/>
        <v>194644.88</v>
      </c>
      <c r="O29" s="1017">
        <f t="shared" ref="O29" si="2">SUM(O9:O28)</f>
        <v>308041</v>
      </c>
      <c r="P29" s="1017">
        <f>SUM(P8:P28)</f>
        <v>0</v>
      </c>
      <c r="R29" s="19">
        <f t="shared" ref="R29:AU29" si="3">SUM(R8:R28)</f>
        <v>302817</v>
      </c>
      <c r="S29" s="19">
        <f t="shared" si="3"/>
        <v>306646</v>
      </c>
      <c r="T29" s="19">
        <f t="shared" si="3"/>
        <v>308040</v>
      </c>
      <c r="U29" s="19">
        <f t="shared" si="3"/>
        <v>296520</v>
      </c>
      <c r="V29" s="19">
        <f t="shared" si="3"/>
        <v>300087</v>
      </c>
      <c r="W29" s="19">
        <f t="shared" si="3"/>
        <v>310739</v>
      </c>
      <c r="X29" s="19">
        <f t="shared" si="3"/>
        <v>315483</v>
      </c>
      <c r="Y29" s="19">
        <f t="shared" si="3"/>
        <v>285057</v>
      </c>
      <c r="Z29" s="19">
        <f t="shared" si="3"/>
        <v>295277</v>
      </c>
      <c r="AA29" s="19">
        <f t="shared" si="3"/>
        <v>300581</v>
      </c>
      <c r="AB29" s="19">
        <f t="shared" si="3"/>
        <v>313970</v>
      </c>
      <c r="AC29" s="19">
        <f t="shared" si="3"/>
        <v>323417</v>
      </c>
      <c r="AD29" s="19">
        <f t="shared" si="3"/>
        <v>333014</v>
      </c>
      <c r="AE29" s="19">
        <f t="shared" si="3"/>
        <v>344674</v>
      </c>
      <c r="AF29" s="19">
        <f t="shared" si="3"/>
        <v>239430</v>
      </c>
      <c r="AG29" s="19">
        <f t="shared" si="3"/>
        <v>245285</v>
      </c>
      <c r="AH29" s="19">
        <f t="shared" si="3"/>
        <v>252241</v>
      </c>
      <c r="AI29" s="19">
        <f t="shared" si="3"/>
        <v>260301</v>
      </c>
      <c r="AJ29" s="19">
        <f t="shared" si="3"/>
        <v>212998</v>
      </c>
      <c r="AK29" s="19">
        <f t="shared" si="3"/>
        <v>119503</v>
      </c>
      <c r="AL29" s="19">
        <f t="shared" si="3"/>
        <v>122390</v>
      </c>
      <c r="AM29" s="19">
        <f t="shared" si="3"/>
        <v>128314</v>
      </c>
      <c r="AN29" s="19">
        <f t="shared" si="3"/>
        <v>134275</v>
      </c>
      <c r="AO29" s="19">
        <f t="shared" si="3"/>
        <v>132277</v>
      </c>
      <c r="AP29" s="19">
        <f t="shared" si="3"/>
        <v>53319</v>
      </c>
      <c r="AQ29" s="19">
        <f t="shared" si="3"/>
        <v>27405</v>
      </c>
      <c r="AR29" s="19">
        <f t="shared" si="3"/>
        <v>28535</v>
      </c>
      <c r="AS29" s="19">
        <f t="shared" si="3"/>
        <v>29528</v>
      </c>
      <c r="AT29" s="19">
        <f t="shared" si="3"/>
        <v>0</v>
      </c>
      <c r="AU29" s="19">
        <f t="shared" si="3"/>
        <v>0</v>
      </c>
      <c r="AV29" s="142">
        <f>SUM(R29:AU29)</f>
        <v>6322123</v>
      </c>
    </row>
    <row r="30" spans="1:48" x14ac:dyDescent="0.25">
      <c r="A30" s="881"/>
      <c r="B30" s="17"/>
      <c r="C30" s="18"/>
      <c r="D30" s="311"/>
      <c r="E30" s="311"/>
      <c r="F30" s="311"/>
      <c r="G30" s="311"/>
      <c r="H30" s="311"/>
      <c r="I30" s="311"/>
      <c r="J30" s="311"/>
      <c r="K30" s="169"/>
      <c r="L30" s="311"/>
      <c r="M30" s="169"/>
      <c r="N30" s="18"/>
      <c r="O30" s="169"/>
      <c r="P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f>SUM(R29:AB29)</f>
        <v>3335217</v>
      </c>
    </row>
    <row r="31" spans="1:48" ht="13.8" thickBot="1" x14ac:dyDescent="0.3">
      <c r="A31" s="881"/>
      <c r="B31" s="98" t="s">
        <v>229</v>
      </c>
      <c r="C31" s="13"/>
      <c r="D31" s="143"/>
      <c r="E31" s="143"/>
      <c r="F31" s="143"/>
      <c r="G31" s="143"/>
      <c r="H31" s="143"/>
      <c r="I31" s="143"/>
      <c r="J31" s="143"/>
      <c r="K31" s="170"/>
      <c r="L31" s="143"/>
      <c r="M31" s="170"/>
      <c r="N31" s="13"/>
      <c r="O31" s="170"/>
      <c r="P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row>
    <row r="32" spans="1:48" x14ac:dyDescent="0.25">
      <c r="A32" s="881" t="s">
        <v>520</v>
      </c>
      <c r="B32" s="12" t="s">
        <v>525</v>
      </c>
      <c r="C32" s="102">
        <v>14325</v>
      </c>
      <c r="D32" s="312">
        <f>6600+6600</f>
        <v>13200</v>
      </c>
      <c r="E32" s="312">
        <v>12000</v>
      </c>
      <c r="F32" s="312">
        <v>10725</v>
      </c>
      <c r="G32" s="312">
        <v>9375</v>
      </c>
      <c r="H32" s="312">
        <v>8025</v>
      </c>
      <c r="I32" s="312">
        <v>6675</v>
      </c>
      <c r="J32" s="312">
        <v>5250</v>
      </c>
      <c r="K32" s="252">
        <v>3750</v>
      </c>
      <c r="L32" s="312">
        <v>3750</v>
      </c>
      <c r="M32" s="252">
        <v>2500</v>
      </c>
      <c r="N32" s="102">
        <v>1250</v>
      </c>
      <c r="O32" s="125">
        <f t="shared" ref="O32:O54" si="4">+T32</f>
        <v>1250</v>
      </c>
      <c r="P32" s="38"/>
      <c r="R32" s="14">
        <f>1875+1875</f>
        <v>3750</v>
      </c>
      <c r="S32" s="14">
        <f>1250+1250</f>
        <v>2500</v>
      </c>
      <c r="T32" s="14">
        <f>625+625</f>
        <v>1250</v>
      </c>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row>
    <row r="33" spans="1:47" x14ac:dyDescent="0.25">
      <c r="A33" s="881" t="s">
        <v>522</v>
      </c>
      <c r="B33" s="12" t="s">
        <v>526</v>
      </c>
      <c r="C33" s="118">
        <v>2262.5</v>
      </c>
      <c r="D33" s="313">
        <f>1037.5+1037.5</f>
        <v>2075</v>
      </c>
      <c r="E33" s="313">
        <v>1875</v>
      </c>
      <c r="F33" s="313">
        <v>1662.5</v>
      </c>
      <c r="G33" s="313">
        <v>1437.5</v>
      </c>
      <c r="H33" s="313">
        <v>1212.5</v>
      </c>
      <c r="I33" s="313">
        <v>987.5</v>
      </c>
      <c r="J33" s="313">
        <v>750</v>
      </c>
      <c r="K33" s="253">
        <v>500</v>
      </c>
      <c r="L33" s="313">
        <v>500</v>
      </c>
      <c r="M33" s="253">
        <v>250</v>
      </c>
      <c r="N33" s="118">
        <v>125</v>
      </c>
      <c r="O33" s="125">
        <f t="shared" si="4"/>
        <v>0</v>
      </c>
      <c r="P33" s="38"/>
      <c r="R33" s="38">
        <v>500</v>
      </c>
      <c r="S33" s="38">
        <v>250</v>
      </c>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row>
    <row r="34" spans="1:47" hidden="1" x14ac:dyDescent="0.25">
      <c r="A34" s="881" t="s">
        <v>518</v>
      </c>
      <c r="B34" s="12" t="s">
        <v>43</v>
      </c>
      <c r="C34" s="118">
        <v>4144.22</v>
      </c>
      <c r="D34" s="313">
        <v>2496.9499999999998</v>
      </c>
      <c r="E34" s="313">
        <v>1096.1600000000001</v>
      </c>
      <c r="F34" s="313">
        <v>1006.08</v>
      </c>
      <c r="G34" s="313">
        <v>365.85</v>
      </c>
      <c r="H34" s="313">
        <v>9695.77</v>
      </c>
      <c r="I34" s="313">
        <v>0</v>
      </c>
      <c r="J34" s="313"/>
      <c r="K34" s="253"/>
      <c r="L34" s="313"/>
      <c r="M34" s="253"/>
      <c r="N34" s="118"/>
      <c r="O34" s="125">
        <f t="shared" si="4"/>
        <v>0</v>
      </c>
      <c r="P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row>
    <row r="35" spans="1:47" hidden="1" x14ac:dyDescent="0.25">
      <c r="A35" s="881" t="s">
        <v>519</v>
      </c>
      <c r="B35" s="12" t="s">
        <v>45</v>
      </c>
      <c r="C35" s="118">
        <v>122.19</v>
      </c>
      <c r="D35" s="313">
        <v>44.59</v>
      </c>
      <c r="E35" s="313">
        <v>78.03</v>
      </c>
      <c r="F35" s="313">
        <v>55.73</v>
      </c>
      <c r="G35" s="313">
        <v>33.44</v>
      </c>
      <c r="H35" s="313">
        <v>11.15</v>
      </c>
      <c r="I35" s="313">
        <v>0</v>
      </c>
      <c r="J35" s="313"/>
      <c r="K35" s="253"/>
      <c r="L35" s="313"/>
      <c r="M35" s="253"/>
      <c r="N35" s="118"/>
      <c r="O35" s="125">
        <f t="shared" si="4"/>
        <v>0</v>
      </c>
      <c r="P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row>
    <row r="36" spans="1:47" x14ac:dyDescent="0.25">
      <c r="A36" s="881" t="s">
        <v>404</v>
      </c>
      <c r="B36" s="12" t="s">
        <v>397</v>
      </c>
      <c r="C36" s="118">
        <v>8675</v>
      </c>
      <c r="D36" s="312">
        <f>3125+2750+900+775</f>
        <v>7550</v>
      </c>
      <c r="E36" s="312">
        <v>6675</v>
      </c>
      <c r="F36" s="312">
        <v>5925</v>
      </c>
      <c r="G36" s="312">
        <v>5175</v>
      </c>
      <c r="H36" s="312">
        <v>4500</v>
      </c>
      <c r="I36" s="312">
        <v>3900</v>
      </c>
      <c r="J36" s="313">
        <v>3300</v>
      </c>
      <c r="K36" s="253">
        <v>2700</v>
      </c>
      <c r="L36" s="313">
        <v>2700</v>
      </c>
      <c r="M36" s="253">
        <v>2200</v>
      </c>
      <c r="N36" s="118">
        <v>1200</v>
      </c>
      <c r="O36" s="125">
        <f t="shared" si="4"/>
        <v>1800</v>
      </c>
      <c r="P36" s="38"/>
      <c r="R36" s="38">
        <f>1400+1200+100</f>
        <v>2700</v>
      </c>
      <c r="S36" s="38">
        <v>2200</v>
      </c>
      <c r="T36" s="38">
        <v>1800</v>
      </c>
      <c r="U36" s="38">
        <v>1400</v>
      </c>
      <c r="V36" s="38">
        <v>1000</v>
      </c>
      <c r="W36" s="38">
        <v>600</v>
      </c>
      <c r="X36" s="38">
        <v>200</v>
      </c>
      <c r="Y36" s="38"/>
      <c r="Z36" s="38"/>
      <c r="AA36" s="38"/>
      <c r="AB36" s="38"/>
      <c r="AC36" s="38"/>
      <c r="AD36" s="38"/>
      <c r="AE36" s="38"/>
      <c r="AF36" s="38"/>
      <c r="AG36" s="38"/>
      <c r="AH36" s="38"/>
      <c r="AI36" s="38"/>
      <c r="AJ36" s="38"/>
      <c r="AK36" s="38"/>
      <c r="AL36" s="38"/>
      <c r="AM36" s="38"/>
      <c r="AN36" s="38"/>
      <c r="AO36" s="38"/>
      <c r="AP36" s="38"/>
      <c r="AQ36" s="38"/>
      <c r="AR36" s="38"/>
      <c r="AS36" s="38"/>
      <c r="AT36" s="38"/>
      <c r="AU36" s="38"/>
    </row>
    <row r="37" spans="1:47" x14ac:dyDescent="0.25">
      <c r="A37" s="881" t="s">
        <v>587</v>
      </c>
      <c r="B37" s="63" t="s">
        <v>36</v>
      </c>
      <c r="C37" s="118">
        <v>8786.7199999999993</v>
      </c>
      <c r="D37" s="313">
        <v>8258.9699999999993</v>
      </c>
      <c r="E37" s="313">
        <v>7720.61</v>
      </c>
      <c r="F37" s="313">
        <v>7171.36</v>
      </c>
      <c r="G37" s="313">
        <v>6571.41</v>
      </c>
      <c r="H37" s="313">
        <v>6039.35</v>
      </c>
      <c r="I37" s="313">
        <v>5456.13</v>
      </c>
      <c r="J37" s="313">
        <v>4861.13</v>
      </c>
      <c r="K37" s="253">
        <v>4255</v>
      </c>
      <c r="L37" s="313">
        <v>4254.1099999999997</v>
      </c>
      <c r="M37" s="253">
        <v>3635</v>
      </c>
      <c r="N37" s="118">
        <v>1973.78</v>
      </c>
      <c r="O37" s="125">
        <f t="shared" si="4"/>
        <v>3004</v>
      </c>
      <c r="P37" s="38"/>
      <c r="R37" s="253">
        <f>+'Split Debt Service'!G42</f>
        <v>4255</v>
      </c>
      <c r="S37" s="253">
        <f>ROUND((+'Split Debt Service'!H42),0)</f>
        <v>3635</v>
      </c>
      <c r="T37" s="253">
        <f>+'Split Debt Service'!I42</f>
        <v>3004</v>
      </c>
      <c r="U37" s="253">
        <f>+'Split Debt Service'!J42</f>
        <v>2359</v>
      </c>
      <c r="V37" s="253">
        <f>+'Split Debt Service'!K42</f>
        <v>1701</v>
      </c>
      <c r="W37" s="253">
        <f>+'Split Debt Service'!L42</f>
        <v>1030</v>
      </c>
      <c r="X37" s="253">
        <f>+'Split Debt Service'!M42</f>
        <v>346</v>
      </c>
      <c r="Y37" s="253">
        <f>+'Split Debt Service'!N42</f>
        <v>0</v>
      </c>
      <c r="Z37" s="253">
        <f>+'Split Debt Service'!O42</f>
        <v>0</v>
      </c>
      <c r="AA37" s="253">
        <f>+'Split Debt Service'!P42</f>
        <v>0</v>
      </c>
      <c r="AB37" s="253">
        <f>+'Split Debt Service'!Q42</f>
        <v>0</v>
      </c>
      <c r="AC37" s="253">
        <f>+'Split Debt Service'!R42</f>
        <v>0</v>
      </c>
      <c r="AD37" s="253">
        <f>+'Split Debt Service'!S42</f>
        <v>0</v>
      </c>
      <c r="AE37" s="253">
        <f>+'Split Debt Service'!T42</f>
        <v>0</v>
      </c>
      <c r="AF37" s="253">
        <f>+'Split Debt Service'!U42</f>
        <v>0</v>
      </c>
      <c r="AG37" s="253">
        <f>+'Split Debt Service'!V42</f>
        <v>0</v>
      </c>
      <c r="AH37" s="253">
        <f>+'Split Debt Service'!W42</f>
        <v>0</v>
      </c>
      <c r="AI37" s="253">
        <f>+'Split Debt Service'!X42</f>
        <v>0</v>
      </c>
      <c r="AJ37" s="253">
        <f>+'Split Debt Service'!Y42</f>
        <v>0</v>
      </c>
      <c r="AK37" s="253">
        <f>+'Split Debt Service'!Z42</f>
        <v>0</v>
      </c>
      <c r="AL37" s="253">
        <f>+'Split Debt Service'!AA42</f>
        <v>0</v>
      </c>
      <c r="AM37" s="253">
        <f>+'Split Debt Service'!AB42</f>
        <v>0</v>
      </c>
      <c r="AN37" s="253">
        <f>+'Split Debt Service'!AC42</f>
        <v>0</v>
      </c>
      <c r="AO37" s="253">
        <f>+'Split Debt Service'!AD42</f>
        <v>0</v>
      </c>
      <c r="AP37" s="253">
        <f>+'Split Debt Service'!AE42</f>
        <v>0</v>
      </c>
      <c r="AQ37" s="253">
        <f>+'Split Debt Service'!AF42</f>
        <v>0</v>
      </c>
      <c r="AR37" s="253">
        <f>+'Split Debt Service'!AG42</f>
        <v>0</v>
      </c>
      <c r="AS37" s="253">
        <f>+'Split Debt Service'!AH42</f>
        <v>0</v>
      </c>
      <c r="AT37" s="253">
        <f>+'Split Debt Service'!AI42</f>
        <v>0</v>
      </c>
      <c r="AU37" s="253">
        <f>+'Split Debt Service'!AJ42</f>
        <v>0</v>
      </c>
    </row>
    <row r="38" spans="1:47" x14ac:dyDescent="0.25">
      <c r="A38" s="881" t="s">
        <v>588</v>
      </c>
      <c r="B38" s="63" t="s">
        <v>39</v>
      </c>
      <c r="C38" s="118">
        <v>545.9</v>
      </c>
      <c r="D38" s="313">
        <v>619.41</v>
      </c>
      <c r="E38" s="313">
        <v>579.04</v>
      </c>
      <c r="F38" s="313">
        <v>537.85</v>
      </c>
      <c r="G38" s="313">
        <v>495.82</v>
      </c>
      <c r="H38" s="313">
        <v>452.95</v>
      </c>
      <c r="I38" s="313">
        <v>409.21</v>
      </c>
      <c r="J38" s="313">
        <v>364.58</v>
      </c>
      <c r="K38" s="253">
        <v>319</v>
      </c>
      <c r="L38" s="313">
        <v>319.05</v>
      </c>
      <c r="M38" s="253">
        <v>273</v>
      </c>
      <c r="N38" s="118">
        <v>148.03</v>
      </c>
      <c r="O38" s="125">
        <f t="shared" si="4"/>
        <v>226</v>
      </c>
      <c r="P38" s="38"/>
      <c r="R38" s="253">
        <f>+'Split Debt Service'!G43</f>
        <v>319</v>
      </c>
      <c r="S38" s="253">
        <f>ROUND((+'Split Debt Service'!H43),0)</f>
        <v>273</v>
      </c>
      <c r="T38" s="253">
        <f>+'Split Debt Service'!I43</f>
        <v>226</v>
      </c>
      <c r="U38" s="253">
        <f>+'Split Debt Service'!J43</f>
        <v>177</v>
      </c>
      <c r="V38" s="253">
        <f>+'Split Debt Service'!K43</f>
        <v>128</v>
      </c>
      <c r="W38" s="253">
        <f>+'Split Debt Service'!L43</f>
        <v>77</v>
      </c>
      <c r="X38" s="253">
        <f>+'Split Debt Service'!M43</f>
        <v>266</v>
      </c>
      <c r="Y38" s="253">
        <f>+'Split Debt Service'!N43</f>
        <v>0</v>
      </c>
      <c r="Z38" s="253">
        <f>+'Split Debt Service'!O43</f>
        <v>0</v>
      </c>
      <c r="AA38" s="253">
        <f>+'Split Debt Service'!P43</f>
        <v>0</v>
      </c>
      <c r="AB38" s="253">
        <f>+'Split Debt Service'!Q43</f>
        <v>0</v>
      </c>
      <c r="AC38" s="253">
        <f>+'Split Debt Service'!R43</f>
        <v>0</v>
      </c>
      <c r="AD38" s="253">
        <f>+'Split Debt Service'!S43</f>
        <v>0</v>
      </c>
      <c r="AE38" s="253">
        <f>+'Split Debt Service'!T43</f>
        <v>0</v>
      </c>
      <c r="AF38" s="253">
        <f>+'Split Debt Service'!U43</f>
        <v>0</v>
      </c>
      <c r="AG38" s="253">
        <f>+'Split Debt Service'!V43</f>
        <v>0</v>
      </c>
      <c r="AH38" s="253">
        <f>+'Split Debt Service'!W43</f>
        <v>0</v>
      </c>
      <c r="AI38" s="253">
        <f>+'Split Debt Service'!X43</f>
        <v>0</v>
      </c>
      <c r="AJ38" s="253">
        <f>+'Split Debt Service'!Y43</f>
        <v>0</v>
      </c>
      <c r="AK38" s="253">
        <f>+'Split Debt Service'!Z43</f>
        <v>0</v>
      </c>
      <c r="AL38" s="253">
        <f>+'Split Debt Service'!AA43</f>
        <v>0</v>
      </c>
      <c r="AM38" s="253">
        <f>+'Split Debt Service'!AB43</f>
        <v>0</v>
      </c>
      <c r="AN38" s="253">
        <f>+'Split Debt Service'!AC43</f>
        <v>0</v>
      </c>
      <c r="AO38" s="253">
        <f>+'Split Debt Service'!AD43</f>
        <v>0</v>
      </c>
      <c r="AP38" s="253">
        <f>+'Split Debt Service'!AE43</f>
        <v>0</v>
      </c>
      <c r="AQ38" s="253">
        <f>+'Split Debt Service'!AF43</f>
        <v>0</v>
      </c>
      <c r="AR38" s="253">
        <f>+'Split Debt Service'!AG43</f>
        <v>0</v>
      </c>
      <c r="AS38" s="253">
        <f>+'Split Debt Service'!AH43</f>
        <v>0</v>
      </c>
      <c r="AT38" s="253">
        <f>+'Split Debt Service'!AI43</f>
        <v>0</v>
      </c>
      <c r="AU38" s="253">
        <f>+'Split Debt Service'!AJ43</f>
        <v>0</v>
      </c>
    </row>
    <row r="39" spans="1:47" x14ac:dyDescent="0.25">
      <c r="A39" s="881" t="s">
        <v>589</v>
      </c>
      <c r="B39" s="63" t="s">
        <v>37</v>
      </c>
      <c r="C39" s="118">
        <v>24734.01</v>
      </c>
      <c r="D39" s="313">
        <v>24023.5</v>
      </c>
      <c r="E39" s="313">
        <v>23295.65</v>
      </c>
      <c r="F39" s="313">
        <v>22550.01</v>
      </c>
      <c r="G39" s="313">
        <v>21786.15</v>
      </c>
      <c r="H39" s="313">
        <v>21003.63</v>
      </c>
      <c r="I39" s="313">
        <v>20201.97</v>
      </c>
      <c r="J39" s="313">
        <v>19380.72</v>
      </c>
      <c r="K39" s="253">
        <v>18540</v>
      </c>
      <c r="L39" s="313">
        <v>18539.419999999998</v>
      </c>
      <c r="M39" s="253">
        <v>17678</v>
      </c>
      <c r="N39" s="118">
        <v>9056.85</v>
      </c>
      <c r="O39" s="125">
        <f t="shared" si="4"/>
        <v>16795</v>
      </c>
      <c r="P39" s="38"/>
      <c r="R39" s="253">
        <f>+'Split Debt Service'!G44</f>
        <v>18540</v>
      </c>
      <c r="S39" s="253">
        <f>ROUND((+'Split Debt Service'!H44),0)</f>
        <v>17678</v>
      </c>
      <c r="T39" s="253">
        <f>+'Split Debt Service'!I44</f>
        <v>16795</v>
      </c>
      <c r="U39" s="253">
        <f>+'Split Debt Service'!J44</f>
        <v>15890</v>
      </c>
      <c r="V39" s="253">
        <f>+'Split Debt Service'!K44</f>
        <v>14964</v>
      </c>
      <c r="W39" s="253">
        <f>+'Split Debt Service'!L44</f>
        <v>14015</v>
      </c>
      <c r="X39" s="253">
        <f>+'Split Debt Service'!M44</f>
        <v>13042</v>
      </c>
      <c r="Y39" s="253">
        <f>+'Split Debt Service'!N44</f>
        <v>12046.119999999999</v>
      </c>
      <c r="Z39" s="253">
        <f>+'Split Debt Service'!O44</f>
        <v>11026</v>
      </c>
      <c r="AA39" s="253">
        <f>+'Split Debt Service'!P44</f>
        <v>9980</v>
      </c>
      <c r="AB39" s="253">
        <f>+'Split Debt Service'!Q44</f>
        <v>8909</v>
      </c>
      <c r="AC39" s="253">
        <f>+'Split Debt Service'!R44</f>
        <v>7812</v>
      </c>
      <c r="AD39" s="253">
        <f>+'Split Debt Service'!S44</f>
        <v>6688</v>
      </c>
      <c r="AE39" s="253">
        <f>+'Split Debt Service'!T44</f>
        <v>5536</v>
      </c>
      <c r="AF39" s="253">
        <f>+'Split Debt Service'!U44</f>
        <v>4357</v>
      </c>
      <c r="AG39" s="253">
        <f>+'Split Debt Service'!V44</f>
        <v>3148</v>
      </c>
      <c r="AH39" s="253">
        <f>+'Split Debt Service'!W44</f>
        <v>1910</v>
      </c>
      <c r="AI39" s="253">
        <f>+'Split Debt Service'!X44</f>
        <v>642</v>
      </c>
      <c r="AJ39" s="253">
        <f>+'Split Debt Service'!Y44</f>
        <v>0</v>
      </c>
      <c r="AK39" s="253">
        <f>+'Split Debt Service'!Z44</f>
        <v>0</v>
      </c>
      <c r="AL39" s="253">
        <f>+'Split Debt Service'!AA44</f>
        <v>0</v>
      </c>
      <c r="AM39" s="253">
        <f>+'Split Debt Service'!AB44</f>
        <v>0</v>
      </c>
      <c r="AN39" s="253">
        <f>+'Split Debt Service'!AC44</f>
        <v>0</v>
      </c>
      <c r="AO39" s="253">
        <f>+'Split Debt Service'!AD44</f>
        <v>0</v>
      </c>
      <c r="AP39" s="253">
        <f>+'Split Debt Service'!AE44</f>
        <v>0</v>
      </c>
      <c r="AQ39" s="253">
        <f>+'Split Debt Service'!AF44</f>
        <v>0</v>
      </c>
      <c r="AR39" s="253">
        <f>+'Split Debt Service'!AG44</f>
        <v>0</v>
      </c>
      <c r="AS39" s="253">
        <f>+'Split Debt Service'!AH44</f>
        <v>0</v>
      </c>
      <c r="AT39" s="253">
        <f>+'Split Debt Service'!AI44</f>
        <v>0</v>
      </c>
      <c r="AU39" s="253">
        <f>+'Split Debt Service'!AJ44</f>
        <v>0</v>
      </c>
    </row>
    <row r="40" spans="1:47" x14ac:dyDescent="0.25">
      <c r="A40" s="881" t="s">
        <v>590</v>
      </c>
      <c r="B40" s="63" t="s">
        <v>40</v>
      </c>
      <c r="C40" s="118">
        <v>1536.9</v>
      </c>
      <c r="D40" s="313">
        <v>1548.49</v>
      </c>
      <c r="E40" s="313">
        <v>1447.54</v>
      </c>
      <c r="F40" s="313">
        <v>1401.21</v>
      </c>
      <c r="G40" s="313">
        <v>1353.74</v>
      </c>
      <c r="H40" s="313">
        <v>1305.1099999999999</v>
      </c>
      <c r="I40" s="313">
        <v>1255.3</v>
      </c>
      <c r="J40" s="313">
        <v>1204.27</v>
      </c>
      <c r="K40" s="253">
        <v>1152</v>
      </c>
      <c r="L40" s="313">
        <v>1151.99</v>
      </c>
      <c r="M40" s="253">
        <v>1099</v>
      </c>
      <c r="N40" s="118">
        <v>562.77</v>
      </c>
      <c r="O40" s="125">
        <f t="shared" si="4"/>
        <v>1044</v>
      </c>
      <c r="P40" s="38"/>
      <c r="R40" s="253">
        <f>+'Split Debt Service'!G45</f>
        <v>1152</v>
      </c>
      <c r="S40" s="253">
        <f>ROUND((+'Split Debt Service'!H45),0)</f>
        <v>1099</v>
      </c>
      <c r="T40" s="253">
        <f>+'Split Debt Service'!I45</f>
        <v>1044</v>
      </c>
      <c r="U40" s="253">
        <f>+'Split Debt Service'!J45</f>
        <v>988</v>
      </c>
      <c r="V40" s="253">
        <f>+'Split Debt Service'!K45</f>
        <v>870</v>
      </c>
      <c r="W40" s="253">
        <f>+'Split Debt Service'!L45</f>
        <v>871</v>
      </c>
      <c r="X40" s="253">
        <f>+'Split Debt Service'!M45</f>
        <v>811</v>
      </c>
      <c r="Y40" s="253">
        <f>+'Split Debt Service'!N45</f>
        <v>749</v>
      </c>
      <c r="Z40" s="253">
        <f>+'Split Debt Service'!O45</f>
        <v>685</v>
      </c>
      <c r="AA40" s="253">
        <f>+'Split Debt Service'!P45</f>
        <v>620</v>
      </c>
      <c r="AB40" s="253">
        <f>+'Split Debt Service'!Q45</f>
        <v>554</v>
      </c>
      <c r="AC40" s="253">
        <f>+'Split Debt Service'!R45</f>
        <v>485</v>
      </c>
      <c r="AD40" s="253">
        <f>+'Split Debt Service'!S45</f>
        <v>416</v>
      </c>
      <c r="AE40" s="253">
        <f>+'Split Debt Service'!T45</f>
        <v>344</v>
      </c>
      <c r="AF40" s="253">
        <f>+'Split Debt Service'!U45</f>
        <v>271</v>
      </c>
      <c r="AG40" s="253">
        <f>+'Split Debt Service'!V45</f>
        <v>196</v>
      </c>
      <c r="AH40" s="253">
        <f>+'Split Debt Service'!W45</f>
        <v>119</v>
      </c>
      <c r="AI40" s="253">
        <f>+'Split Debt Service'!X45</f>
        <v>40</v>
      </c>
      <c r="AJ40" s="253">
        <f>+'Split Debt Service'!Y45</f>
        <v>0</v>
      </c>
      <c r="AK40" s="253">
        <f>+'Split Debt Service'!Z45</f>
        <v>0</v>
      </c>
      <c r="AL40" s="253">
        <f>+'Split Debt Service'!AA45</f>
        <v>0</v>
      </c>
      <c r="AM40" s="253">
        <f>+'Split Debt Service'!AB45</f>
        <v>0</v>
      </c>
      <c r="AN40" s="253">
        <f>+'Split Debt Service'!AC45</f>
        <v>0</v>
      </c>
      <c r="AO40" s="253">
        <f>+'Split Debt Service'!AD45</f>
        <v>0</v>
      </c>
      <c r="AP40" s="253">
        <f>+'Split Debt Service'!AE45</f>
        <v>0</v>
      </c>
      <c r="AQ40" s="253">
        <f>+'Split Debt Service'!AF45</f>
        <v>0</v>
      </c>
      <c r="AR40" s="253">
        <f>+'Split Debt Service'!AG45</f>
        <v>0</v>
      </c>
      <c r="AS40" s="253">
        <f>+'Split Debt Service'!AH45</f>
        <v>0</v>
      </c>
      <c r="AT40" s="253">
        <f>+'Split Debt Service'!AI45</f>
        <v>0</v>
      </c>
      <c r="AU40" s="253">
        <f>+'Split Debt Service'!AJ45</f>
        <v>0</v>
      </c>
    </row>
    <row r="41" spans="1:47" x14ac:dyDescent="0.25">
      <c r="A41" s="881" t="s">
        <v>591</v>
      </c>
      <c r="B41" s="63" t="s">
        <v>38</v>
      </c>
      <c r="C41" s="118">
        <v>25310.43</v>
      </c>
      <c r="D41" s="313">
        <v>25310.43</v>
      </c>
      <c r="E41" s="313">
        <v>24954.14</v>
      </c>
      <c r="F41" s="313">
        <v>24582.26</v>
      </c>
      <c r="G41" s="313">
        <v>24194.12</v>
      </c>
      <c r="H41" s="313">
        <v>23788.99</v>
      </c>
      <c r="I41" s="313">
        <v>23366.14</v>
      </c>
      <c r="J41" s="313">
        <v>27785.46</v>
      </c>
      <c r="K41" s="253">
        <v>16148</v>
      </c>
      <c r="L41" s="313">
        <v>16147.59</v>
      </c>
      <c r="M41" s="253">
        <v>15154</v>
      </c>
      <c r="N41" s="118">
        <v>7576.88</v>
      </c>
      <c r="O41" s="125">
        <f t="shared" si="4"/>
        <v>14554</v>
      </c>
      <c r="P41" s="38"/>
      <c r="R41" s="253">
        <f>+'Split Debt Service'!G46</f>
        <v>16148</v>
      </c>
      <c r="S41" s="253">
        <f>ROUND((+'Split Debt Service'!H46),0)</f>
        <v>15154</v>
      </c>
      <c r="T41" s="253">
        <f>+'Split Debt Service'!I46</f>
        <v>14554</v>
      </c>
      <c r="U41" s="253">
        <f>+'Split Debt Service'!J46</f>
        <v>13954</v>
      </c>
      <c r="V41" s="253">
        <f>+'Split Debt Service'!K46</f>
        <v>13204</v>
      </c>
      <c r="W41" s="253">
        <f>+'Split Debt Service'!L46</f>
        <v>12454</v>
      </c>
      <c r="X41" s="253">
        <f>+'Split Debt Service'!M46</f>
        <v>11704</v>
      </c>
      <c r="Y41" s="253">
        <f>+'Split Debt Service'!N46</f>
        <v>10954</v>
      </c>
      <c r="Z41" s="253">
        <f>+'Split Debt Service'!O46</f>
        <v>10054</v>
      </c>
      <c r="AA41" s="253">
        <f>+'Split Debt Service'!P46</f>
        <v>9154</v>
      </c>
      <c r="AB41" s="253">
        <f>+'Split Debt Service'!Q46</f>
        <v>8254</v>
      </c>
      <c r="AC41" s="253">
        <f>+'Split Debt Service'!R46</f>
        <v>7834</v>
      </c>
      <c r="AD41" s="253">
        <f>+'Split Debt Service'!S46</f>
        <v>7414</v>
      </c>
      <c r="AE41" s="253">
        <f>+'Split Debt Service'!T46</f>
        <v>6994</v>
      </c>
      <c r="AF41" s="253">
        <f>+'Split Debt Service'!U46</f>
        <v>6548</v>
      </c>
      <c r="AG41" s="253">
        <f>+'Split Debt Service'!V46</f>
        <v>6101</v>
      </c>
      <c r="AH41" s="253">
        <f>+'Split Debt Service'!W46</f>
        <v>5629</v>
      </c>
      <c r="AI41" s="253">
        <f>+'Split Debt Service'!X46</f>
        <v>5130</v>
      </c>
      <c r="AJ41" s="253">
        <f>+'Split Debt Service'!Y46</f>
        <v>4560</v>
      </c>
      <c r="AK41" s="253">
        <f>+'Split Debt Service'!Z46</f>
        <v>3990</v>
      </c>
      <c r="AL41" s="253">
        <f>+'Split Debt Service'!AA46</f>
        <v>3390</v>
      </c>
      <c r="AM41" s="253">
        <f>+'Split Debt Service'!AB46</f>
        <v>2790</v>
      </c>
      <c r="AN41" s="253">
        <f>+'Split Debt Service'!AC46</f>
        <v>2160</v>
      </c>
      <c r="AO41" s="253">
        <f>+'Split Debt Service'!AD46</f>
        <v>1451</v>
      </c>
      <c r="AP41" s="253">
        <f>+'Split Debt Service'!AE46</f>
        <v>743</v>
      </c>
      <c r="AQ41" s="253">
        <f>+'Split Debt Service'!AF46</f>
        <v>0</v>
      </c>
      <c r="AR41" s="253">
        <f>+'Split Debt Service'!AG46</f>
        <v>0</v>
      </c>
      <c r="AS41" s="253">
        <f>+'Split Debt Service'!AH46</f>
        <v>0</v>
      </c>
      <c r="AT41" s="253">
        <f>+'Split Debt Service'!AI46</f>
        <v>0</v>
      </c>
      <c r="AU41" s="253">
        <f>+'Split Debt Service'!AJ46</f>
        <v>0</v>
      </c>
    </row>
    <row r="42" spans="1:47" x14ac:dyDescent="0.25">
      <c r="A42" s="881" t="s">
        <v>592</v>
      </c>
      <c r="B42" s="63" t="s">
        <v>352</v>
      </c>
      <c r="C42" s="37">
        <v>23710.799999999999</v>
      </c>
      <c r="D42" s="313">
        <v>23412.71</v>
      </c>
      <c r="E42" s="313">
        <v>23102.63</v>
      </c>
      <c r="F42" s="313">
        <v>22779.73</v>
      </c>
      <c r="G42" s="313">
        <v>22443.54</v>
      </c>
      <c r="H42" s="313">
        <v>22093.47</v>
      </c>
      <c r="I42" s="313">
        <v>21728.97</v>
      </c>
      <c r="J42" s="313">
        <v>21349.43</v>
      </c>
      <c r="K42" s="253">
        <v>20954</v>
      </c>
      <c r="L42" s="313">
        <v>20954.22</v>
      </c>
      <c r="M42" s="253">
        <v>20543</v>
      </c>
      <c r="N42" s="118">
        <v>20542.72</v>
      </c>
      <c r="O42" s="125">
        <f t="shared" si="4"/>
        <v>20114</v>
      </c>
      <c r="P42" s="38"/>
      <c r="R42" s="253">
        <f>+'Split Debt Service'!G47</f>
        <v>20954</v>
      </c>
      <c r="S42" s="253">
        <f>ROUND((+'Split Debt Service'!H47),0)</f>
        <v>20543</v>
      </c>
      <c r="T42" s="253">
        <f>+'Split Debt Service'!I47</f>
        <v>20114</v>
      </c>
      <c r="U42" s="253">
        <f>+'Split Debt Service'!J47</f>
        <v>19669</v>
      </c>
      <c r="V42" s="253">
        <f>+'Split Debt Service'!K47</f>
        <v>19204</v>
      </c>
      <c r="W42" s="253">
        <f>+'Split Debt Service'!L47</f>
        <v>18720</v>
      </c>
      <c r="X42" s="253">
        <f>+'Split Debt Service'!M47</f>
        <v>18217</v>
      </c>
      <c r="Y42" s="253">
        <f>+'Split Debt Service'!N47</f>
        <v>17692</v>
      </c>
      <c r="Z42" s="253">
        <f>+'Split Debt Service'!O47</f>
        <v>17146</v>
      </c>
      <c r="AA42" s="253">
        <f>+'Split Debt Service'!P47</f>
        <v>16577</v>
      </c>
      <c r="AB42" s="253">
        <f>+'Split Debt Service'!Q47</f>
        <v>15985</v>
      </c>
      <c r="AC42" s="253">
        <f>+'Split Debt Service'!R47</f>
        <v>15369</v>
      </c>
      <c r="AD42" s="253">
        <f>+'Split Debt Service'!S47</f>
        <v>14727</v>
      </c>
      <c r="AE42" s="253">
        <f>+'Split Debt Service'!T47</f>
        <v>14059</v>
      </c>
      <c r="AF42" s="253">
        <f>+'Split Debt Service'!U47</f>
        <v>13363</v>
      </c>
      <c r="AG42" s="253">
        <f>+'Split Debt Service'!V47</f>
        <v>12638</v>
      </c>
      <c r="AH42" s="253">
        <f>+'Split Debt Service'!W47</f>
        <v>11883</v>
      </c>
      <c r="AI42" s="253">
        <f>+'Split Debt Service'!X47</f>
        <v>11098</v>
      </c>
      <c r="AJ42" s="253">
        <f>+'Split Debt Service'!Y47</f>
        <v>10280</v>
      </c>
      <c r="AK42" s="253">
        <f>+'Split Debt Service'!Z47</f>
        <v>9428</v>
      </c>
      <c r="AL42" s="253">
        <f>+'Split Debt Service'!AA47</f>
        <v>8540</v>
      </c>
      <c r="AM42" s="253">
        <f>+'Split Debt Service'!AB47</f>
        <v>7617</v>
      </c>
      <c r="AN42" s="253">
        <f>+'Split Debt Service'!AC47</f>
        <v>6655</v>
      </c>
      <c r="AO42" s="253">
        <f>+'Split Debt Service'!AD47</f>
        <v>5654</v>
      </c>
      <c r="AP42" s="253">
        <f>+'Split Debt Service'!AE47</f>
        <v>4612</v>
      </c>
      <c r="AQ42" s="253">
        <f>+'Split Debt Service'!AF47</f>
        <v>1726</v>
      </c>
      <c r="AR42" s="253">
        <f>+'Split Debt Service'!AG47</f>
        <v>2395</v>
      </c>
      <c r="AS42" s="253">
        <f>+'Split Debt Service'!AH47</f>
        <v>1218</v>
      </c>
      <c r="AT42" s="253">
        <f>+'Split Debt Service'!AI47</f>
        <v>0</v>
      </c>
      <c r="AU42" s="253">
        <f>+'Split Debt Service'!AJ47</f>
        <v>0</v>
      </c>
    </row>
    <row r="43" spans="1:47" hidden="1" x14ac:dyDescent="0.25">
      <c r="A43" s="881" t="s">
        <v>593</v>
      </c>
      <c r="B43" s="12" t="s">
        <v>42</v>
      </c>
      <c r="C43" s="118">
        <v>18050.560000000001</v>
      </c>
      <c r="D43" s="313">
        <v>14609.79</v>
      </c>
      <c r="E43" s="313">
        <v>11041.41</v>
      </c>
      <c r="F43" s="313">
        <v>7320.51</v>
      </c>
      <c r="G43" s="313">
        <v>1534.09</v>
      </c>
      <c r="H43" s="313"/>
      <c r="I43" s="313">
        <v>0</v>
      </c>
      <c r="J43" s="313"/>
      <c r="K43" s="253"/>
      <c r="L43" s="313"/>
      <c r="M43" s="253"/>
      <c r="N43" s="118"/>
      <c r="O43" s="125">
        <f t="shared" si="4"/>
        <v>0</v>
      </c>
      <c r="P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row>
    <row r="44" spans="1:47" hidden="1" x14ac:dyDescent="0.25">
      <c r="A44" s="881" t="s">
        <v>594</v>
      </c>
      <c r="B44" s="12" t="s">
        <v>44</v>
      </c>
      <c r="C44" s="118">
        <v>493.92</v>
      </c>
      <c r="D44" s="313">
        <v>400.92</v>
      </c>
      <c r="E44" s="313">
        <v>305.18</v>
      </c>
      <c r="F44" s="313">
        <v>206.52</v>
      </c>
      <c r="G44" s="313">
        <v>104.82</v>
      </c>
      <c r="H44" s="313"/>
      <c r="I44" s="313">
        <v>0</v>
      </c>
      <c r="J44" s="313"/>
      <c r="K44" s="253"/>
      <c r="L44" s="313"/>
      <c r="M44" s="253"/>
      <c r="N44" s="118"/>
      <c r="O44" s="125">
        <f t="shared" si="4"/>
        <v>0</v>
      </c>
      <c r="P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row>
    <row r="45" spans="1:47" x14ac:dyDescent="0.25">
      <c r="A45" s="881" t="s">
        <v>897</v>
      </c>
      <c r="B45" s="12" t="s">
        <v>940</v>
      </c>
      <c r="C45" s="118"/>
      <c r="D45" s="313"/>
      <c r="E45" s="313">
        <v>44234.86</v>
      </c>
      <c r="F45" s="313">
        <v>52400</v>
      </c>
      <c r="G45" s="313">
        <v>50750</v>
      </c>
      <c r="H45" s="313">
        <v>49100</v>
      </c>
      <c r="I45" s="313">
        <v>47299.25</v>
      </c>
      <c r="J45" s="313">
        <v>45500</v>
      </c>
      <c r="K45" s="253">
        <v>43550</v>
      </c>
      <c r="L45" s="313">
        <v>43550</v>
      </c>
      <c r="M45" s="253">
        <v>41600</v>
      </c>
      <c r="N45" s="118">
        <v>20800</v>
      </c>
      <c r="O45" s="125">
        <f t="shared" si="4"/>
        <v>39500</v>
      </c>
      <c r="P45" s="38"/>
      <c r="R45" s="38">
        <v>43550</v>
      </c>
      <c r="S45" s="38">
        <v>41600</v>
      </c>
      <c r="T45" s="38">
        <v>39500</v>
      </c>
      <c r="U45" s="38">
        <v>37400</v>
      </c>
      <c r="V45" s="38">
        <v>35150</v>
      </c>
      <c r="W45" s="38">
        <v>32338</v>
      </c>
      <c r="X45" s="38">
        <v>29338</v>
      </c>
      <c r="Y45" s="38">
        <v>26338</v>
      </c>
      <c r="Z45" s="38">
        <v>23150</v>
      </c>
      <c r="AA45" s="38">
        <v>19775</v>
      </c>
      <c r="AB45" s="38">
        <v>16400</v>
      </c>
      <c r="AC45" s="38">
        <v>12600</v>
      </c>
      <c r="AD45" s="38">
        <v>8600</v>
      </c>
      <c r="AE45" s="38">
        <v>4400</v>
      </c>
      <c r="AF45" s="38"/>
      <c r="AG45" s="38"/>
      <c r="AH45" s="38"/>
      <c r="AI45" s="38"/>
      <c r="AJ45" s="38"/>
      <c r="AK45" s="38"/>
      <c r="AL45" s="38"/>
      <c r="AM45" s="38"/>
      <c r="AN45" s="38"/>
      <c r="AO45" s="38"/>
      <c r="AP45" s="38"/>
      <c r="AQ45" s="38"/>
      <c r="AR45" s="38"/>
      <c r="AS45" s="38"/>
      <c r="AT45" s="38"/>
      <c r="AU45" s="38"/>
    </row>
    <row r="46" spans="1:47" x14ac:dyDescent="0.25">
      <c r="A46" s="881" t="s">
        <v>1025</v>
      </c>
      <c r="B46" s="12" t="s">
        <v>1286</v>
      </c>
      <c r="C46" s="118"/>
      <c r="D46" s="313"/>
      <c r="E46" s="313"/>
      <c r="F46" s="313"/>
      <c r="G46" s="313"/>
      <c r="H46" s="313"/>
      <c r="I46" s="313">
        <v>10817.49</v>
      </c>
      <c r="J46" s="313">
        <v>31020.58</v>
      </c>
      <c r="K46" s="253">
        <v>29726</v>
      </c>
      <c r="L46" s="313">
        <v>29725.94</v>
      </c>
      <c r="M46" s="253">
        <v>28403</v>
      </c>
      <c r="N46" s="118">
        <v>14535.83</v>
      </c>
      <c r="O46" s="125">
        <f t="shared" si="4"/>
        <v>27051.64</v>
      </c>
      <c r="P46" s="38"/>
      <c r="R46" s="125">
        <f>15190.11+14535.83</f>
        <v>29725.940000000002</v>
      </c>
      <c r="S46" s="125">
        <f>ROUND((14535.83+13867.33),0)</f>
        <v>28403</v>
      </c>
      <c r="T46" s="125">
        <f>13867.33+13184.31</f>
        <v>27051.64</v>
      </c>
      <c r="U46" s="125">
        <f>13184.31+12486.44</f>
        <v>25670.75</v>
      </c>
      <c r="V46" s="125">
        <f>12486.44+11773.4</f>
        <v>24259.84</v>
      </c>
      <c r="W46" s="125">
        <f>11773.4+11044.87</f>
        <v>22818.27</v>
      </c>
      <c r="X46" s="125">
        <f>11044.87+10300.5</f>
        <v>21345.370000000003</v>
      </c>
      <c r="Y46" s="125">
        <f>10300.5+9539.96</f>
        <v>19840.46</v>
      </c>
      <c r="Z46" s="125">
        <f>5939.96+8762.89</f>
        <v>14702.849999999999</v>
      </c>
      <c r="AA46" s="125">
        <f>8762.89+7968.93</f>
        <v>16731.82</v>
      </c>
      <c r="AB46" s="125">
        <f>7968.93+7157.71</f>
        <v>15126.64</v>
      </c>
      <c r="AC46" s="125">
        <f>7157.71+6328.86</f>
        <v>13486.57</v>
      </c>
      <c r="AD46" s="125">
        <f>6328.86+5482</f>
        <v>11810.86</v>
      </c>
      <c r="AE46" s="125">
        <f>5482+4616.73</f>
        <v>10098.73</v>
      </c>
      <c r="AF46" s="125">
        <f>4616.73+3732.66</f>
        <v>8349.39</v>
      </c>
      <c r="AG46" s="125">
        <f>3732.66+2829.37</f>
        <v>6562.03</v>
      </c>
      <c r="AH46" s="125">
        <f>2839.37+1906.45</f>
        <v>4745.82</v>
      </c>
      <c r="AI46" s="125">
        <f>1906.45+963.47</f>
        <v>2869.92</v>
      </c>
      <c r="AJ46" s="125">
        <v>963.47</v>
      </c>
      <c r="AK46" s="38"/>
      <c r="AL46" s="38"/>
      <c r="AM46" s="38"/>
      <c r="AN46" s="38"/>
      <c r="AO46" s="38"/>
      <c r="AP46" s="38"/>
      <c r="AQ46" s="38"/>
      <c r="AR46" s="38"/>
      <c r="AS46" s="38"/>
      <c r="AT46" s="38"/>
      <c r="AU46" s="38"/>
    </row>
    <row r="47" spans="1:47" x14ac:dyDescent="0.25">
      <c r="A47" s="881" t="s">
        <v>1026</v>
      </c>
      <c r="B47" s="12" t="s">
        <v>1190</v>
      </c>
      <c r="C47" s="118"/>
      <c r="D47" s="313"/>
      <c r="E47" s="313"/>
      <c r="F47" s="313"/>
      <c r="G47" s="313"/>
      <c r="H47" s="313"/>
      <c r="I47" s="313">
        <v>8726.5499999999993</v>
      </c>
      <c r="J47" s="313">
        <v>2326.5500000000002</v>
      </c>
      <c r="K47" s="253">
        <v>2229</v>
      </c>
      <c r="L47" s="313">
        <v>2229.4499999999998</v>
      </c>
      <c r="M47" s="253">
        <v>2130</v>
      </c>
      <c r="N47" s="118">
        <v>1090.19</v>
      </c>
      <c r="O47" s="125">
        <f t="shared" si="4"/>
        <v>2028.87</v>
      </c>
      <c r="P47" s="38"/>
      <c r="R47" s="125">
        <f>1090.19+1139.28</f>
        <v>2229.4700000000003</v>
      </c>
      <c r="S47" s="125">
        <f>ROUND((1040.05+1090.19),0)</f>
        <v>2130</v>
      </c>
      <c r="T47" s="125">
        <f>988.82+1040.05</f>
        <v>2028.87</v>
      </c>
      <c r="U47" s="125">
        <f>936.48+988.82</f>
        <v>1925.3000000000002</v>
      </c>
      <c r="V47" s="125">
        <f>883.01+936.48</f>
        <v>1819.49</v>
      </c>
      <c r="W47" s="125">
        <f>828.37+883.01</f>
        <v>1711.38</v>
      </c>
      <c r="X47" s="125">
        <f>772.54+828.37</f>
        <v>1600.9099999999999</v>
      </c>
      <c r="Y47" s="125">
        <f>715.5+772.54</f>
        <v>1488.04</v>
      </c>
      <c r="Z47" s="125">
        <f>257.22+715.5</f>
        <v>972.72</v>
      </c>
      <c r="AA47" s="125">
        <f>597.67+657.22</f>
        <v>1254.8899999999999</v>
      </c>
      <c r="AB47" s="125">
        <f>536.83+597.67</f>
        <v>1134.5</v>
      </c>
      <c r="AC47" s="125">
        <f>474.66+536.83</f>
        <v>1011.49</v>
      </c>
      <c r="AD47" s="125">
        <f>411.15+474.66</f>
        <v>885.81</v>
      </c>
      <c r="AE47" s="125">
        <f>346.25+411.15</f>
        <v>757.4</v>
      </c>
      <c r="AF47" s="125">
        <f>279.95+346.25</f>
        <v>626.20000000000005</v>
      </c>
      <c r="AG47" s="125">
        <f>212.2+279.95</f>
        <v>492.15</v>
      </c>
      <c r="AH47" s="125">
        <f>142.98+212.2</f>
        <v>355.17999999999995</v>
      </c>
      <c r="AI47" s="125">
        <f>72.26+142.98</f>
        <v>215.24</v>
      </c>
      <c r="AJ47" s="125">
        <v>72.260000000000005</v>
      </c>
      <c r="AK47" s="38"/>
      <c r="AL47" s="38"/>
      <c r="AM47" s="38"/>
      <c r="AN47" s="38"/>
      <c r="AO47" s="38"/>
      <c r="AP47" s="38"/>
      <c r="AQ47" s="38"/>
      <c r="AR47" s="38"/>
      <c r="AS47" s="38"/>
      <c r="AT47" s="38"/>
      <c r="AU47" s="38"/>
    </row>
    <row r="48" spans="1:47" x14ac:dyDescent="0.25">
      <c r="A48" s="881" t="s">
        <v>1103</v>
      </c>
      <c r="B48" s="12" t="s">
        <v>1044</v>
      </c>
      <c r="C48" s="118"/>
      <c r="D48" s="313"/>
      <c r="E48" s="313"/>
      <c r="F48" s="313"/>
      <c r="G48" s="313"/>
      <c r="H48" s="313"/>
      <c r="I48" s="313">
        <v>0</v>
      </c>
      <c r="J48" s="313">
        <v>7138.34</v>
      </c>
      <c r="K48" s="253">
        <v>5192</v>
      </c>
      <c r="L48" s="313">
        <v>5191.26</v>
      </c>
      <c r="M48" s="253">
        <v>4992</v>
      </c>
      <c r="N48" s="118">
        <v>2545.63</v>
      </c>
      <c r="O48" s="125">
        <f t="shared" si="4"/>
        <v>4767</v>
      </c>
      <c r="P48" s="38"/>
      <c r="R48" s="669">
        <v>5192</v>
      </c>
      <c r="S48" s="669">
        <v>4992</v>
      </c>
      <c r="T48" s="669">
        <v>4767</v>
      </c>
      <c r="U48" s="669">
        <v>4517</v>
      </c>
      <c r="V48" s="669">
        <v>4323</v>
      </c>
      <c r="W48" s="669">
        <v>4185</v>
      </c>
      <c r="X48" s="669">
        <v>3992</v>
      </c>
      <c r="Y48" s="669">
        <v>3792</v>
      </c>
      <c r="Z48" s="669">
        <v>3627</v>
      </c>
      <c r="AA48" s="125">
        <v>3447</v>
      </c>
      <c r="AB48" s="125">
        <v>3267</v>
      </c>
      <c r="AC48" s="125">
        <v>3087</v>
      </c>
      <c r="AD48" s="125">
        <v>2907</v>
      </c>
      <c r="AE48" s="125">
        <v>2712</v>
      </c>
      <c r="AF48" s="125">
        <v>2497</v>
      </c>
      <c r="AG48" s="125">
        <v>2274</v>
      </c>
      <c r="AH48" s="125">
        <v>2047</v>
      </c>
      <c r="AI48" s="125">
        <v>1819</v>
      </c>
      <c r="AJ48" s="125">
        <v>1570</v>
      </c>
      <c r="AK48" s="38">
        <v>1295</v>
      </c>
      <c r="AL48" s="38">
        <v>1015</v>
      </c>
      <c r="AM48" s="38">
        <v>735</v>
      </c>
      <c r="AN48" s="38">
        <v>738</v>
      </c>
      <c r="AO48" s="38">
        <v>140</v>
      </c>
      <c r="AP48" s="38"/>
      <c r="AQ48" s="38"/>
      <c r="AR48" s="38"/>
      <c r="AS48" s="38"/>
      <c r="AT48" s="38"/>
      <c r="AU48" s="38"/>
    </row>
    <row r="49" spans="1:47" x14ac:dyDescent="0.25">
      <c r="A49" s="881" t="s">
        <v>1104</v>
      </c>
      <c r="B49" s="12" t="s">
        <v>1289</v>
      </c>
      <c r="C49" s="118"/>
      <c r="D49" s="313"/>
      <c r="E49" s="313"/>
      <c r="F49" s="313"/>
      <c r="G49" s="313"/>
      <c r="H49" s="313"/>
      <c r="I49" s="313">
        <v>0</v>
      </c>
      <c r="J49" s="313">
        <v>17480</v>
      </c>
      <c r="K49" s="253">
        <v>12704</v>
      </c>
      <c r="L49" s="313">
        <v>12703.76</v>
      </c>
      <c r="M49" s="253">
        <v>12204</v>
      </c>
      <c r="N49" s="118">
        <v>6226.88</v>
      </c>
      <c r="O49" s="125">
        <f t="shared" si="4"/>
        <v>11679</v>
      </c>
      <c r="P49" s="38"/>
      <c r="R49" s="669">
        <v>12704</v>
      </c>
      <c r="S49" s="669">
        <v>12204</v>
      </c>
      <c r="T49" s="669">
        <v>11679</v>
      </c>
      <c r="U49" s="669">
        <v>11104</v>
      </c>
      <c r="V49" s="669">
        <v>10639</v>
      </c>
      <c r="W49" s="669">
        <v>10309</v>
      </c>
      <c r="X49" s="669">
        <v>9819</v>
      </c>
      <c r="Y49" s="669">
        <v>9299</v>
      </c>
      <c r="Z49" s="669">
        <v>8894</v>
      </c>
      <c r="AA49" s="125">
        <v>8474</v>
      </c>
      <c r="AB49" s="125">
        <v>8039</v>
      </c>
      <c r="AC49" s="125">
        <v>7589</v>
      </c>
      <c r="AD49" s="125">
        <v>7139</v>
      </c>
      <c r="AE49" s="125">
        <v>6674</v>
      </c>
      <c r="AF49" s="125">
        <v>6184</v>
      </c>
      <c r="AG49" s="125">
        <v>5658</v>
      </c>
      <c r="AH49" s="125">
        <v>5089</v>
      </c>
      <c r="AI49" s="125">
        <v>4504</v>
      </c>
      <c r="AJ49" s="125">
        <v>3891</v>
      </c>
      <c r="AK49" s="38">
        <v>3238</v>
      </c>
      <c r="AL49" s="38">
        <v>2555</v>
      </c>
      <c r="AM49" s="38">
        <v>1838</v>
      </c>
      <c r="AN49" s="38">
        <v>1103</v>
      </c>
      <c r="AO49" s="38">
        <v>368</v>
      </c>
      <c r="AP49" s="38"/>
      <c r="AQ49" s="38"/>
      <c r="AR49" s="38"/>
      <c r="AS49" s="38"/>
      <c r="AT49" s="38"/>
      <c r="AU49" s="38"/>
    </row>
    <row r="50" spans="1:47" x14ac:dyDescent="0.25">
      <c r="A50" s="881" t="s">
        <v>1107</v>
      </c>
      <c r="B50" s="12" t="s">
        <v>1102</v>
      </c>
      <c r="C50" s="118"/>
      <c r="D50" s="313"/>
      <c r="E50" s="313"/>
      <c r="F50" s="313"/>
      <c r="G50" s="313"/>
      <c r="H50" s="313"/>
      <c r="I50" s="313"/>
      <c r="J50" s="313">
        <v>16835</v>
      </c>
      <c r="K50" s="253">
        <v>12220</v>
      </c>
      <c r="L50" s="313">
        <v>12220</v>
      </c>
      <c r="M50" s="253">
        <v>11720</v>
      </c>
      <c r="N50" s="118">
        <v>5985</v>
      </c>
      <c r="O50" s="125">
        <f t="shared" si="4"/>
        <v>11195</v>
      </c>
      <c r="P50" s="38"/>
      <c r="R50" s="669">
        <v>12220</v>
      </c>
      <c r="S50" s="669">
        <v>11720</v>
      </c>
      <c r="T50" s="669">
        <v>11195</v>
      </c>
      <c r="U50" s="669">
        <v>10645</v>
      </c>
      <c r="V50" s="669">
        <v>10219</v>
      </c>
      <c r="W50" s="669">
        <v>9903</v>
      </c>
      <c r="X50" s="669">
        <v>9438</v>
      </c>
      <c r="Y50" s="669">
        <v>8943</v>
      </c>
      <c r="Z50" s="669">
        <v>8553</v>
      </c>
      <c r="AA50" s="125">
        <v>8148</v>
      </c>
      <c r="AB50" s="125">
        <v>7728</v>
      </c>
      <c r="AC50" s="125">
        <v>7308</v>
      </c>
      <c r="AD50" s="125">
        <v>6873</v>
      </c>
      <c r="AE50" s="125">
        <v>6423</v>
      </c>
      <c r="AF50" s="125">
        <v>5948</v>
      </c>
      <c r="AG50" s="125">
        <v>5438</v>
      </c>
      <c r="AH50" s="125">
        <v>4902</v>
      </c>
      <c r="AI50" s="125">
        <v>4349</v>
      </c>
      <c r="AJ50" s="125">
        <v>3769</v>
      </c>
      <c r="AK50" s="38">
        <v>3133</v>
      </c>
      <c r="AL50" s="38">
        <v>2468</v>
      </c>
      <c r="AM50" s="38">
        <v>1785</v>
      </c>
      <c r="AN50" s="38">
        <v>1068</v>
      </c>
      <c r="AO50" s="38">
        <v>350</v>
      </c>
      <c r="AP50" s="38"/>
      <c r="AQ50" s="38"/>
      <c r="AR50" s="38"/>
      <c r="AS50" s="38"/>
      <c r="AT50" s="38"/>
      <c r="AU50" s="38"/>
    </row>
    <row r="51" spans="1:47" x14ac:dyDescent="0.25">
      <c r="A51" s="881" t="s">
        <v>1108</v>
      </c>
      <c r="B51" s="12" t="s">
        <v>1290</v>
      </c>
      <c r="C51" s="118"/>
      <c r="D51" s="313"/>
      <c r="E51" s="313"/>
      <c r="F51" s="313"/>
      <c r="G51" s="313"/>
      <c r="H51" s="313"/>
      <c r="I51" s="313"/>
      <c r="J51" s="313">
        <v>4640</v>
      </c>
      <c r="K51" s="253">
        <v>3374</v>
      </c>
      <c r="L51" s="313">
        <v>3373.76</v>
      </c>
      <c r="M51" s="253">
        <v>3224</v>
      </c>
      <c r="N51" s="118">
        <v>1649.37</v>
      </c>
      <c r="O51" s="125">
        <f t="shared" si="4"/>
        <v>3074</v>
      </c>
      <c r="P51" s="38"/>
      <c r="R51" s="669">
        <v>3374</v>
      </c>
      <c r="S51" s="669">
        <v>3224</v>
      </c>
      <c r="T51" s="669">
        <v>3074</v>
      </c>
      <c r="U51" s="669">
        <v>2924</v>
      </c>
      <c r="V51" s="669">
        <v>2808</v>
      </c>
      <c r="W51" s="669">
        <v>2725</v>
      </c>
      <c r="X51" s="669">
        <v>2609</v>
      </c>
      <c r="Y51" s="669">
        <v>2474</v>
      </c>
      <c r="Z51" s="669">
        <v>2354</v>
      </c>
      <c r="AA51" s="125">
        <v>2234</v>
      </c>
      <c r="AB51" s="125">
        <v>2114</v>
      </c>
      <c r="AC51" s="125">
        <v>1994</v>
      </c>
      <c r="AD51" s="125">
        <v>1874</v>
      </c>
      <c r="AE51" s="125">
        <v>1754</v>
      </c>
      <c r="AF51" s="125">
        <v>1632</v>
      </c>
      <c r="AG51" s="125">
        <v>1504</v>
      </c>
      <c r="AH51" s="125">
        <v>1358</v>
      </c>
      <c r="AI51" s="125">
        <v>1195</v>
      </c>
      <c r="AJ51" s="125">
        <v>1030</v>
      </c>
      <c r="AK51" s="38">
        <v>858</v>
      </c>
      <c r="AL51" s="38">
        <v>683</v>
      </c>
      <c r="AM51" s="38">
        <v>490</v>
      </c>
      <c r="AN51" s="38">
        <v>580</v>
      </c>
      <c r="AO51" s="38">
        <v>88</v>
      </c>
      <c r="AP51" s="38"/>
      <c r="AQ51" s="38"/>
      <c r="AR51" s="38"/>
      <c r="AS51" s="38"/>
      <c r="AT51" s="38"/>
      <c r="AU51" s="38"/>
    </row>
    <row r="52" spans="1:47" x14ac:dyDescent="0.25">
      <c r="A52" s="881" t="s">
        <v>1287</v>
      </c>
      <c r="B52" s="12" t="s">
        <v>1288</v>
      </c>
      <c r="C52" s="118"/>
      <c r="D52" s="313"/>
      <c r="E52" s="313"/>
      <c r="F52" s="313"/>
      <c r="G52" s="313"/>
      <c r="H52" s="313"/>
      <c r="I52" s="313"/>
      <c r="J52" s="313">
        <v>18190</v>
      </c>
      <c r="K52" s="253">
        <v>13237</v>
      </c>
      <c r="L52" s="313">
        <v>13236.26</v>
      </c>
      <c r="M52" s="253">
        <v>12712</v>
      </c>
      <c r="N52" s="118">
        <v>6493.13</v>
      </c>
      <c r="O52" s="125">
        <f t="shared" si="4"/>
        <v>12162</v>
      </c>
      <c r="P52" s="38"/>
      <c r="R52" s="669">
        <v>13237</v>
      </c>
      <c r="S52" s="669">
        <v>12712</v>
      </c>
      <c r="T52" s="669">
        <v>12162</v>
      </c>
      <c r="U52" s="669">
        <v>11587</v>
      </c>
      <c r="V52" s="669">
        <v>11122</v>
      </c>
      <c r="W52" s="669">
        <v>10778</v>
      </c>
      <c r="X52" s="669">
        <v>10274</v>
      </c>
      <c r="Y52" s="669">
        <v>9739</v>
      </c>
      <c r="Z52" s="669">
        <v>9319</v>
      </c>
      <c r="AA52" s="125">
        <v>8884</v>
      </c>
      <c r="AB52" s="125">
        <v>8434</v>
      </c>
      <c r="AC52" s="125">
        <v>7969</v>
      </c>
      <c r="AD52" s="125">
        <v>7489</v>
      </c>
      <c r="AE52" s="125">
        <v>6994</v>
      </c>
      <c r="AF52" s="125">
        <v>6474</v>
      </c>
      <c r="AG52" s="125">
        <v>5915</v>
      </c>
      <c r="AH52" s="125">
        <v>5330</v>
      </c>
      <c r="AI52" s="125">
        <v>4729</v>
      </c>
      <c r="AJ52" s="125">
        <v>1083</v>
      </c>
      <c r="AK52" s="38">
        <v>3395</v>
      </c>
      <c r="AL52" s="38">
        <v>2678</v>
      </c>
      <c r="AM52" s="38">
        <v>1925</v>
      </c>
      <c r="AN52" s="38">
        <v>1155</v>
      </c>
      <c r="AO52" s="38">
        <v>385</v>
      </c>
      <c r="AP52" s="38"/>
      <c r="AQ52" s="38"/>
      <c r="AR52" s="38"/>
      <c r="AS52" s="38"/>
      <c r="AT52" s="38"/>
      <c r="AU52" s="38"/>
    </row>
    <row r="53" spans="1:47" ht="13.8" thickBot="1" x14ac:dyDescent="0.3">
      <c r="A53" s="908" t="s">
        <v>1284</v>
      </c>
      <c r="B53" s="29" t="s">
        <v>1285</v>
      </c>
      <c r="C53" s="118"/>
      <c r="D53" s="313"/>
      <c r="E53" s="313"/>
      <c r="F53" s="313"/>
      <c r="G53" s="313"/>
      <c r="H53" s="313"/>
      <c r="I53" s="313">
        <v>0.75</v>
      </c>
      <c r="J53" s="313">
        <v>3020</v>
      </c>
      <c r="K53" s="253">
        <v>2184</v>
      </c>
      <c r="L53" s="313">
        <v>2183.75</v>
      </c>
      <c r="M53" s="253">
        <v>2084</v>
      </c>
      <c r="N53" s="118">
        <v>1066.8699999999999</v>
      </c>
      <c r="O53" s="125">
        <f t="shared" si="4"/>
        <v>1984</v>
      </c>
      <c r="P53" s="38"/>
      <c r="R53" s="669">
        <v>2184</v>
      </c>
      <c r="S53" s="669">
        <v>2084</v>
      </c>
      <c r="T53" s="669">
        <v>1984</v>
      </c>
      <c r="U53" s="669">
        <v>1884</v>
      </c>
      <c r="V53" s="669">
        <v>1807</v>
      </c>
      <c r="W53" s="669">
        <v>1752</v>
      </c>
      <c r="X53" s="669">
        <v>1674</v>
      </c>
      <c r="Y53" s="669">
        <v>1594</v>
      </c>
      <c r="Z53" s="669">
        <v>1534</v>
      </c>
      <c r="AA53" s="125">
        <v>1474</v>
      </c>
      <c r="AB53" s="125">
        <v>1399</v>
      </c>
      <c r="AC53" s="125">
        <v>1309</v>
      </c>
      <c r="AD53" s="125">
        <v>1219</v>
      </c>
      <c r="AE53" s="125">
        <v>1129</v>
      </c>
      <c r="AF53" s="125">
        <v>1037</v>
      </c>
      <c r="AG53" s="125">
        <v>942</v>
      </c>
      <c r="AH53" s="125">
        <v>844</v>
      </c>
      <c r="AI53" s="125">
        <v>747</v>
      </c>
      <c r="AJ53" s="125">
        <v>664</v>
      </c>
      <c r="AK53" s="38">
        <v>558</v>
      </c>
      <c r="AL53" s="38">
        <v>572</v>
      </c>
      <c r="AM53" s="38">
        <v>350</v>
      </c>
      <c r="AN53" s="38">
        <v>210</v>
      </c>
      <c r="AO53" s="38">
        <v>70</v>
      </c>
      <c r="AP53" s="38"/>
      <c r="AQ53" s="38"/>
      <c r="AR53" s="38"/>
      <c r="AS53" s="38"/>
      <c r="AT53" s="38"/>
      <c r="AU53" s="38"/>
    </row>
    <row r="54" spans="1:47" ht="13.8" hidden="1" thickBot="1" x14ac:dyDescent="0.3">
      <c r="A54" s="881" t="s">
        <v>1305</v>
      </c>
      <c r="B54" s="12" t="s">
        <v>1192</v>
      </c>
      <c r="C54" s="118"/>
      <c r="D54" s="313"/>
      <c r="E54" s="313"/>
      <c r="F54" s="313"/>
      <c r="G54" s="313"/>
      <c r="H54" s="313"/>
      <c r="I54" s="313"/>
      <c r="J54" s="313"/>
      <c r="K54" s="253"/>
      <c r="L54" s="313"/>
      <c r="M54" s="253"/>
      <c r="N54" s="118"/>
      <c r="O54" s="125">
        <f t="shared" si="4"/>
        <v>0</v>
      </c>
      <c r="P54" s="38"/>
      <c r="R54" s="669"/>
      <c r="S54" s="669"/>
      <c r="T54" s="669"/>
      <c r="U54" s="669"/>
      <c r="V54" s="669"/>
      <c r="W54" s="669"/>
      <c r="X54" s="669"/>
      <c r="Y54" s="669"/>
      <c r="Z54" s="669"/>
      <c r="AA54" s="125"/>
      <c r="AB54" s="125"/>
      <c r="AC54" s="125"/>
      <c r="AD54" s="125"/>
      <c r="AE54" s="125"/>
      <c r="AF54" s="125"/>
      <c r="AG54" s="125"/>
      <c r="AH54" s="125"/>
      <c r="AI54" s="125"/>
      <c r="AJ54" s="125"/>
      <c r="AK54" s="38"/>
      <c r="AL54" s="38"/>
      <c r="AM54" s="38"/>
      <c r="AN54" s="38"/>
      <c r="AO54" s="38"/>
      <c r="AP54" s="38"/>
      <c r="AQ54" s="38"/>
      <c r="AR54" s="38"/>
      <c r="AS54" s="38"/>
      <c r="AT54" s="38"/>
      <c r="AU54" s="38"/>
    </row>
    <row r="55" spans="1:47" ht="13.8" hidden="1" thickBot="1" x14ac:dyDescent="0.3">
      <c r="A55" s="881"/>
      <c r="B55" s="12"/>
      <c r="C55" s="119"/>
      <c r="D55" s="314"/>
      <c r="E55" s="314"/>
      <c r="F55" s="314"/>
      <c r="G55" s="314"/>
      <c r="H55" s="314"/>
      <c r="I55" s="1011"/>
      <c r="J55" s="1011"/>
      <c r="K55" s="1012"/>
      <c r="L55" s="1011"/>
      <c r="M55" s="1012"/>
      <c r="N55" s="118"/>
      <c r="O55" s="1012"/>
      <c r="P55" s="1013"/>
      <c r="R55" s="670"/>
      <c r="S55" s="670"/>
      <c r="T55" s="670"/>
      <c r="U55" s="670"/>
      <c r="V55" s="670"/>
      <c r="W55" s="670"/>
      <c r="X55" s="670"/>
      <c r="Y55" s="670"/>
      <c r="Z55" s="670"/>
      <c r="AA55" s="670"/>
      <c r="AB55" s="670"/>
      <c r="AC55" s="670"/>
      <c r="AD55" s="670"/>
      <c r="AE55" s="670"/>
      <c r="AF55" s="670"/>
      <c r="AG55" s="670"/>
      <c r="AH55" s="670"/>
      <c r="AI55" s="670"/>
      <c r="AJ55" s="670"/>
      <c r="AK55" s="174"/>
      <c r="AL55" s="174"/>
      <c r="AM55" s="174"/>
      <c r="AN55" s="174"/>
      <c r="AO55" s="174"/>
      <c r="AP55" s="174"/>
      <c r="AQ55" s="174"/>
      <c r="AR55" s="174"/>
      <c r="AS55" s="174"/>
      <c r="AT55" s="174"/>
      <c r="AU55" s="174"/>
    </row>
    <row r="56" spans="1:47" ht="13.8" thickTop="1" x14ac:dyDescent="0.25">
      <c r="A56" s="881"/>
      <c r="B56" s="17" t="s">
        <v>229</v>
      </c>
      <c r="C56" s="18">
        <f t="shared" ref="C56:N56" si="5">SUM(C32:C55)</f>
        <v>132698.15000000002</v>
      </c>
      <c r="D56" s="18">
        <f t="shared" si="5"/>
        <v>123550.76</v>
      </c>
      <c r="E56" s="18">
        <f t="shared" si="5"/>
        <v>158405.25</v>
      </c>
      <c r="F56" s="18">
        <f t="shared" si="5"/>
        <v>158323.76</v>
      </c>
      <c r="G56" s="18">
        <f t="shared" si="5"/>
        <v>145620.48000000001</v>
      </c>
      <c r="H56" s="18">
        <f t="shared" si="5"/>
        <v>147227.92000000001</v>
      </c>
      <c r="I56" s="1014">
        <f t="shared" si="5"/>
        <v>150824.25999999998</v>
      </c>
      <c r="J56" s="1014">
        <f t="shared" ref="J56" si="6">SUM(J32:J55)</f>
        <v>230396.05999999997</v>
      </c>
      <c r="K56" s="1015">
        <f t="shared" ref="K56:M56" si="7">SUM(K32:K55)</f>
        <v>192734</v>
      </c>
      <c r="L56" s="1014">
        <f t="shared" si="7"/>
        <v>192730.56000000006</v>
      </c>
      <c r="M56" s="1015">
        <f t="shared" si="7"/>
        <v>182401</v>
      </c>
      <c r="N56" s="1016">
        <f t="shared" si="5"/>
        <v>102828.93000000001</v>
      </c>
      <c r="O56" s="1015">
        <f t="shared" ref="O56" si="8">SUM(O32:O55)</f>
        <v>172228.51</v>
      </c>
      <c r="P56" s="1017">
        <f>SUM(P31:P55)</f>
        <v>0</v>
      </c>
      <c r="R56" s="19">
        <f t="shared" ref="R56:AU56" si="9">SUM(R31:R55)</f>
        <v>192734.41</v>
      </c>
      <c r="S56" s="19">
        <f t="shared" si="9"/>
        <v>182401</v>
      </c>
      <c r="T56" s="19">
        <f t="shared" si="9"/>
        <v>172228.51</v>
      </c>
      <c r="U56" s="19">
        <f t="shared" si="9"/>
        <v>162094.04999999999</v>
      </c>
      <c r="V56" s="19">
        <f t="shared" si="9"/>
        <v>153218.33000000002</v>
      </c>
      <c r="W56" s="19">
        <f t="shared" si="9"/>
        <v>144286.65000000002</v>
      </c>
      <c r="X56" s="19">
        <f t="shared" si="9"/>
        <v>134676.28</v>
      </c>
      <c r="Y56" s="19">
        <f t="shared" si="9"/>
        <v>124948.61999999998</v>
      </c>
      <c r="Z56" s="19">
        <f t="shared" si="9"/>
        <v>112017.57</v>
      </c>
      <c r="AA56" s="19">
        <f t="shared" si="9"/>
        <v>106753.71</v>
      </c>
      <c r="AB56" s="19">
        <f t="shared" si="9"/>
        <v>97344.14</v>
      </c>
      <c r="AC56" s="19">
        <f t="shared" si="9"/>
        <v>87854.06</v>
      </c>
      <c r="AD56" s="19">
        <f t="shared" si="9"/>
        <v>78042.67</v>
      </c>
      <c r="AE56" s="19">
        <f t="shared" si="9"/>
        <v>67875.13</v>
      </c>
      <c r="AF56" s="19">
        <f t="shared" si="9"/>
        <v>57286.59</v>
      </c>
      <c r="AG56" s="19">
        <f t="shared" si="9"/>
        <v>50868.18</v>
      </c>
      <c r="AH56" s="19">
        <f t="shared" si="9"/>
        <v>44212</v>
      </c>
      <c r="AI56" s="19">
        <f t="shared" si="9"/>
        <v>37338.160000000003</v>
      </c>
      <c r="AJ56" s="19">
        <f t="shared" si="9"/>
        <v>27882.73</v>
      </c>
      <c r="AK56" s="19">
        <f t="shared" si="9"/>
        <v>25895</v>
      </c>
      <c r="AL56" s="19">
        <f t="shared" si="9"/>
        <v>21901</v>
      </c>
      <c r="AM56" s="19">
        <f t="shared" si="9"/>
        <v>17530</v>
      </c>
      <c r="AN56" s="19">
        <f t="shared" si="9"/>
        <v>13669</v>
      </c>
      <c r="AO56" s="19">
        <f t="shared" si="9"/>
        <v>8506</v>
      </c>
      <c r="AP56" s="19">
        <f t="shared" si="9"/>
        <v>5355</v>
      </c>
      <c r="AQ56" s="19">
        <f t="shared" si="9"/>
        <v>1726</v>
      </c>
      <c r="AR56" s="19">
        <f t="shared" si="9"/>
        <v>2395</v>
      </c>
      <c r="AS56" s="19">
        <f t="shared" si="9"/>
        <v>1218</v>
      </c>
      <c r="AT56" s="19">
        <f t="shared" si="9"/>
        <v>0</v>
      </c>
      <c r="AU56" s="19">
        <f t="shared" si="9"/>
        <v>0</v>
      </c>
    </row>
    <row r="57" spans="1:47" x14ac:dyDescent="0.25">
      <c r="A57" s="881"/>
      <c r="B57" s="12"/>
      <c r="C57" s="13"/>
      <c r="D57" s="143"/>
      <c r="E57" s="143"/>
      <c r="F57" s="143"/>
      <c r="G57" s="143"/>
      <c r="H57" s="143"/>
      <c r="I57" s="143"/>
      <c r="J57" s="143"/>
      <c r="K57" s="170"/>
      <c r="L57" s="143"/>
      <c r="M57" s="170"/>
      <c r="N57" s="13"/>
      <c r="O57" s="170"/>
      <c r="P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row>
    <row r="58" spans="1:47" ht="13.8" thickBot="1" x14ac:dyDescent="0.3">
      <c r="A58" s="881" t="s">
        <v>230</v>
      </c>
      <c r="B58" s="12" t="s">
        <v>231</v>
      </c>
      <c r="C58" s="15">
        <v>0</v>
      </c>
      <c r="D58" s="15">
        <v>3829.25</v>
      </c>
      <c r="E58" s="15">
        <v>1687.82</v>
      </c>
      <c r="F58" s="15">
        <v>4042.69</v>
      </c>
      <c r="G58" s="15">
        <v>18640.21</v>
      </c>
      <c r="H58" s="15">
        <v>16073.39</v>
      </c>
      <c r="I58" s="15">
        <v>19952.82</v>
      </c>
      <c r="J58" s="15"/>
      <c r="K58" s="16">
        <v>25000</v>
      </c>
      <c r="L58" s="15"/>
      <c r="M58" s="16">
        <v>25000</v>
      </c>
      <c r="N58" s="15"/>
      <c r="O58" s="16">
        <v>25000</v>
      </c>
      <c r="P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row>
    <row r="59" spans="1:47" x14ac:dyDescent="0.25">
      <c r="A59" s="881"/>
      <c r="B59" s="17" t="s">
        <v>232</v>
      </c>
      <c r="C59" s="18">
        <f t="shared" ref="C59:N59" si="10">SUM(C58:C58)</f>
        <v>0</v>
      </c>
      <c r="D59" s="18">
        <f t="shared" si="10"/>
        <v>3829.25</v>
      </c>
      <c r="E59" s="18">
        <f t="shared" si="10"/>
        <v>1687.82</v>
      </c>
      <c r="F59" s="18">
        <f>SUM(F58)</f>
        <v>4042.69</v>
      </c>
      <c r="G59" s="18">
        <f>SUM(G58)</f>
        <v>18640.21</v>
      </c>
      <c r="H59" s="18">
        <f>SUM(H58)</f>
        <v>16073.39</v>
      </c>
      <c r="I59" s="18">
        <f t="shared" si="10"/>
        <v>19952.82</v>
      </c>
      <c r="J59" s="18">
        <f t="shared" ref="J59" si="11">SUM(J58:J58)</f>
        <v>0</v>
      </c>
      <c r="K59" s="19">
        <f t="shared" ref="K59:M59" si="12">SUM(K58:K58)</f>
        <v>25000</v>
      </c>
      <c r="L59" s="18">
        <f t="shared" si="12"/>
        <v>0</v>
      </c>
      <c r="M59" s="19">
        <f t="shared" si="12"/>
        <v>25000</v>
      </c>
      <c r="N59" s="18">
        <f t="shared" si="10"/>
        <v>0</v>
      </c>
      <c r="O59" s="19">
        <f t="shared" ref="O59" si="13">SUM(O58:O58)</f>
        <v>25000</v>
      </c>
      <c r="P59" s="19">
        <f>SUM(P57:P58)</f>
        <v>0</v>
      </c>
      <c r="R59" s="19">
        <f t="shared" ref="R59:AU59" si="14">SUM(R57:R58)</f>
        <v>0</v>
      </c>
      <c r="S59" s="19">
        <f t="shared" si="14"/>
        <v>0</v>
      </c>
      <c r="T59" s="19">
        <f t="shared" si="14"/>
        <v>0</v>
      </c>
      <c r="U59" s="19">
        <f t="shared" si="14"/>
        <v>0</v>
      </c>
      <c r="V59" s="19">
        <f t="shared" si="14"/>
        <v>0</v>
      </c>
      <c r="W59" s="19">
        <f t="shared" si="14"/>
        <v>0</v>
      </c>
      <c r="X59" s="19">
        <f t="shared" si="14"/>
        <v>0</v>
      </c>
      <c r="Y59" s="19">
        <f t="shared" si="14"/>
        <v>0</v>
      </c>
      <c r="Z59" s="19">
        <f t="shared" si="14"/>
        <v>0</v>
      </c>
      <c r="AA59" s="19">
        <f t="shared" si="14"/>
        <v>0</v>
      </c>
      <c r="AB59" s="19">
        <f t="shared" si="14"/>
        <v>0</v>
      </c>
      <c r="AC59" s="19">
        <f t="shared" si="14"/>
        <v>0</v>
      </c>
      <c r="AD59" s="19">
        <f t="shared" si="14"/>
        <v>0</v>
      </c>
      <c r="AE59" s="19">
        <f t="shared" si="14"/>
        <v>0</v>
      </c>
      <c r="AF59" s="19">
        <f t="shared" si="14"/>
        <v>0</v>
      </c>
      <c r="AG59" s="19">
        <f t="shared" si="14"/>
        <v>0</v>
      </c>
      <c r="AH59" s="19">
        <f t="shared" si="14"/>
        <v>0</v>
      </c>
      <c r="AI59" s="19">
        <f t="shared" si="14"/>
        <v>0</v>
      </c>
      <c r="AJ59" s="19">
        <f t="shared" si="14"/>
        <v>0</v>
      </c>
      <c r="AK59" s="19">
        <f t="shared" si="14"/>
        <v>0</v>
      </c>
      <c r="AL59" s="19">
        <f t="shared" si="14"/>
        <v>0</v>
      </c>
      <c r="AM59" s="19">
        <f t="shared" si="14"/>
        <v>0</v>
      </c>
      <c r="AN59" s="19">
        <f t="shared" si="14"/>
        <v>0</v>
      </c>
      <c r="AO59" s="19">
        <f t="shared" si="14"/>
        <v>0</v>
      </c>
      <c r="AP59" s="19">
        <f t="shared" si="14"/>
        <v>0</v>
      </c>
      <c r="AQ59" s="19">
        <f t="shared" si="14"/>
        <v>0</v>
      </c>
      <c r="AR59" s="19">
        <f t="shared" si="14"/>
        <v>0</v>
      </c>
      <c r="AS59" s="19">
        <f t="shared" si="14"/>
        <v>0</v>
      </c>
      <c r="AT59" s="19">
        <f t="shared" si="14"/>
        <v>0</v>
      </c>
      <c r="AU59" s="19">
        <f t="shared" si="14"/>
        <v>0</v>
      </c>
    </row>
    <row r="60" spans="1:47" x14ac:dyDescent="0.25">
      <c r="A60" s="881"/>
      <c r="B60" s="12"/>
      <c r="C60" s="13"/>
      <c r="D60" s="13"/>
      <c r="E60" s="13"/>
      <c r="F60" s="13"/>
      <c r="G60" s="13"/>
      <c r="H60" s="13"/>
      <c r="I60" s="13"/>
      <c r="J60" s="13"/>
      <c r="K60" s="14"/>
      <c r="L60" s="13"/>
      <c r="M60" s="14"/>
      <c r="N60" s="13"/>
      <c r="O60" s="14"/>
      <c r="P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row>
    <row r="61" spans="1:47" ht="13.8" thickBot="1" x14ac:dyDescent="0.3">
      <c r="A61" s="882"/>
      <c r="B61" s="20" t="s">
        <v>468</v>
      </c>
      <c r="C61" s="21">
        <f t="shared" ref="C61:N61" si="15">+C59+C56+C29</f>
        <v>339561.32000000007</v>
      </c>
      <c r="D61" s="21">
        <f t="shared" si="15"/>
        <v>333169.57</v>
      </c>
      <c r="E61" s="21">
        <f t="shared" si="15"/>
        <v>430365.07</v>
      </c>
      <c r="F61" s="21">
        <f t="shared" si="15"/>
        <v>426045.84</v>
      </c>
      <c r="G61" s="21">
        <f t="shared" si="15"/>
        <v>432071.62</v>
      </c>
      <c r="H61" s="21">
        <f>+H59+H56+H29</f>
        <v>363646.25</v>
      </c>
      <c r="I61" s="21">
        <f t="shared" si="15"/>
        <v>363127.97</v>
      </c>
      <c r="J61" s="21">
        <f t="shared" ref="J61" si="16">+J59+J56+J29</f>
        <v>513019.85</v>
      </c>
      <c r="K61" s="22">
        <f t="shared" ref="K61:M61" si="17">+K59+K56+K29</f>
        <v>520551</v>
      </c>
      <c r="L61" s="21">
        <f t="shared" si="17"/>
        <v>495060.53</v>
      </c>
      <c r="M61" s="22">
        <f t="shared" si="17"/>
        <v>514047</v>
      </c>
      <c r="N61" s="21">
        <f t="shared" si="15"/>
        <v>297473.81</v>
      </c>
      <c r="O61" s="22">
        <f>+O59+O56+O29</f>
        <v>505269.51</v>
      </c>
      <c r="P61" s="22">
        <f>+O61</f>
        <v>505269.51</v>
      </c>
      <c r="R61" s="22">
        <f t="shared" ref="R61:AU61" si="18">+R59+R56+R29</f>
        <v>495551.41000000003</v>
      </c>
      <c r="S61" s="22">
        <f t="shared" si="18"/>
        <v>489047</v>
      </c>
      <c r="T61" s="22">
        <f t="shared" si="18"/>
        <v>480268.51</v>
      </c>
      <c r="U61" s="22">
        <f t="shared" si="18"/>
        <v>458614.05</v>
      </c>
      <c r="V61" s="22">
        <f t="shared" si="18"/>
        <v>453305.33</v>
      </c>
      <c r="W61" s="22">
        <f t="shared" si="18"/>
        <v>455025.65</v>
      </c>
      <c r="X61" s="22">
        <f t="shared" si="18"/>
        <v>450159.28</v>
      </c>
      <c r="Y61" s="22">
        <f t="shared" si="18"/>
        <v>410005.62</v>
      </c>
      <c r="Z61" s="22">
        <f t="shared" si="18"/>
        <v>407294.57</v>
      </c>
      <c r="AA61" s="22">
        <f t="shared" si="18"/>
        <v>407334.71</v>
      </c>
      <c r="AB61" s="22">
        <f t="shared" si="18"/>
        <v>411314.14</v>
      </c>
      <c r="AC61" s="22">
        <f t="shared" si="18"/>
        <v>411271.06</v>
      </c>
      <c r="AD61" s="22">
        <f t="shared" si="18"/>
        <v>411056.67</v>
      </c>
      <c r="AE61" s="22">
        <f t="shared" si="18"/>
        <v>412549.13</v>
      </c>
      <c r="AF61" s="22">
        <f t="shared" si="18"/>
        <v>296716.58999999997</v>
      </c>
      <c r="AG61" s="22">
        <f t="shared" si="18"/>
        <v>296153.18</v>
      </c>
      <c r="AH61" s="22">
        <f t="shared" si="18"/>
        <v>296453</v>
      </c>
      <c r="AI61" s="22">
        <f t="shared" si="18"/>
        <v>297639.16000000003</v>
      </c>
      <c r="AJ61" s="22">
        <f t="shared" si="18"/>
        <v>240880.73</v>
      </c>
      <c r="AK61" s="22">
        <f t="shared" si="18"/>
        <v>145398</v>
      </c>
      <c r="AL61" s="22">
        <f t="shared" si="18"/>
        <v>144291</v>
      </c>
      <c r="AM61" s="22">
        <f t="shared" si="18"/>
        <v>145844</v>
      </c>
      <c r="AN61" s="22">
        <f t="shared" si="18"/>
        <v>147944</v>
      </c>
      <c r="AO61" s="22">
        <f t="shared" si="18"/>
        <v>140783</v>
      </c>
      <c r="AP61" s="22">
        <f t="shared" si="18"/>
        <v>58674</v>
      </c>
      <c r="AQ61" s="22">
        <f t="shared" si="18"/>
        <v>29131</v>
      </c>
      <c r="AR61" s="22">
        <f t="shared" si="18"/>
        <v>30930</v>
      </c>
      <c r="AS61" s="22">
        <f t="shared" si="18"/>
        <v>30746</v>
      </c>
      <c r="AT61" s="22">
        <f t="shared" si="18"/>
        <v>0</v>
      </c>
      <c r="AU61" s="22">
        <f t="shared" si="18"/>
        <v>0</v>
      </c>
    </row>
    <row r="62" spans="1:47" ht="13.8" thickTop="1" x14ac:dyDescent="0.25">
      <c r="A62" s="876"/>
      <c r="B62" s="4"/>
      <c r="C62" s="23"/>
      <c r="D62" s="23"/>
      <c r="E62" s="23"/>
      <c r="F62" s="23"/>
      <c r="G62" s="23"/>
      <c r="H62" s="23"/>
      <c r="I62" s="23"/>
      <c r="J62" s="23"/>
      <c r="K62" s="23"/>
      <c r="L62" s="23"/>
      <c r="M62" s="23"/>
      <c r="N62" s="27"/>
      <c r="O62" s="23"/>
      <c r="P62" s="27"/>
    </row>
    <row r="63" spans="1:47" x14ac:dyDescent="0.25">
      <c r="A63" s="909"/>
      <c r="B63" s="148"/>
      <c r="C63" s="325"/>
      <c r="D63" s="325"/>
      <c r="E63" s="325"/>
      <c r="F63" s="325" t="s">
        <v>1191</v>
      </c>
      <c r="G63" s="367"/>
      <c r="H63" s="367"/>
      <c r="I63" s="325"/>
      <c r="J63" s="325"/>
      <c r="K63" s="325"/>
      <c r="L63" s="325"/>
      <c r="M63" s="325"/>
      <c r="N63" s="202"/>
      <c r="O63" s="325">
        <f>+O61-K61</f>
        <v>-15281.489999999991</v>
      </c>
      <c r="P63" s="744">
        <f>ROUND((+O63/K61),4)</f>
        <v>-2.9399999999999999E-2</v>
      </c>
    </row>
    <row r="64" spans="1:47" x14ac:dyDescent="0.25">
      <c r="A64" s="909"/>
      <c r="B64" s="148"/>
      <c r="C64" s="325"/>
      <c r="D64" s="325"/>
      <c r="E64" s="325"/>
      <c r="F64" s="325"/>
      <c r="G64" s="367"/>
      <c r="H64" s="367"/>
      <c r="I64" s="325"/>
      <c r="J64" s="325"/>
      <c r="K64" s="325"/>
      <c r="L64" s="325"/>
      <c r="M64" s="325"/>
      <c r="N64" s="202"/>
      <c r="O64" s="325"/>
      <c r="P64" s="202"/>
    </row>
    <row r="65" spans="1:17" x14ac:dyDescent="0.25">
      <c r="A65" s="876"/>
      <c r="B65" s="4"/>
      <c r="C65" s="23"/>
      <c r="D65" s="23"/>
      <c r="E65" s="23"/>
      <c r="F65" s="23"/>
      <c r="G65" s="23"/>
      <c r="H65" s="23"/>
      <c r="I65" s="23"/>
      <c r="J65" s="23"/>
      <c r="K65" s="23"/>
      <c r="L65" s="23"/>
      <c r="M65" s="23"/>
      <c r="N65" s="27"/>
      <c r="O65" s="23"/>
      <c r="P65" s="23"/>
      <c r="Q65" s="27"/>
    </row>
    <row r="66" spans="1:17" x14ac:dyDescent="0.25">
      <c r="A66" s="876"/>
      <c r="B66" s="4"/>
      <c r="C66" s="23"/>
      <c r="D66" s="23"/>
      <c r="E66" s="23"/>
      <c r="F66" s="23"/>
      <c r="G66" s="23"/>
      <c r="H66" s="23"/>
      <c r="I66" s="23"/>
      <c r="J66" s="23"/>
      <c r="K66" s="23" t="s">
        <v>1386</v>
      </c>
      <c r="L66" s="23"/>
      <c r="M66" s="23"/>
      <c r="N66" s="4"/>
      <c r="O66" s="23">
        <f>+O61/(+'661 440 WPCF'!O64+'661 449 Hwy'!O27+'661 910 WPCF Benefits'!O18)</f>
        <v>0.21345444460263097</v>
      </c>
      <c r="P66" s="23"/>
      <c r="Q66" s="4"/>
    </row>
    <row r="67" spans="1:17" x14ac:dyDescent="0.25">
      <c r="A67" s="876"/>
      <c r="B67" s="4"/>
      <c r="C67" s="23"/>
      <c r="D67" s="23"/>
      <c r="E67" s="23"/>
      <c r="F67" s="23"/>
      <c r="G67" s="23"/>
      <c r="H67" s="23"/>
      <c r="I67" s="23"/>
      <c r="J67" s="23"/>
      <c r="K67" s="23"/>
      <c r="L67" s="23"/>
      <c r="M67" s="23"/>
      <c r="N67" s="4"/>
      <c r="O67" s="23"/>
      <c r="P67" s="23"/>
      <c r="Q67" s="4"/>
    </row>
    <row r="68" spans="1:17" x14ac:dyDescent="0.25">
      <c r="A68" s="876"/>
      <c r="B68" s="4"/>
      <c r="C68" s="23"/>
      <c r="D68" s="23"/>
      <c r="E68" s="23"/>
      <c r="F68" s="23"/>
      <c r="G68" s="23"/>
      <c r="H68" s="23"/>
      <c r="I68" s="23"/>
      <c r="J68" s="23"/>
      <c r="K68" s="23"/>
      <c r="L68" s="23"/>
      <c r="M68" s="23"/>
      <c r="N68" s="4"/>
      <c r="O68" s="23"/>
      <c r="P68" s="23"/>
      <c r="Q68" s="4"/>
    </row>
    <row r="69" spans="1:17" x14ac:dyDescent="0.25">
      <c r="A69" s="876"/>
      <c r="B69" s="4"/>
      <c r="C69" s="23"/>
      <c r="D69" s="23"/>
      <c r="E69" s="23"/>
      <c r="F69" s="23"/>
      <c r="G69" s="23"/>
      <c r="H69" s="23"/>
      <c r="I69" s="23"/>
      <c r="J69" s="23"/>
      <c r="K69" s="23"/>
      <c r="L69" s="23"/>
      <c r="M69" s="23"/>
      <c r="N69" s="4"/>
      <c r="O69" s="23"/>
      <c r="P69" s="23"/>
      <c r="Q69" s="4"/>
    </row>
    <row r="70" spans="1:17" x14ac:dyDescent="0.25">
      <c r="A70" s="876"/>
      <c r="B70" s="4"/>
      <c r="C70" s="23"/>
      <c r="D70" s="23"/>
      <c r="E70" s="23"/>
      <c r="F70" s="23"/>
      <c r="G70" s="23"/>
      <c r="H70" s="23"/>
      <c r="I70" s="23"/>
      <c r="J70" s="23"/>
      <c r="K70" s="23"/>
      <c r="L70" s="23"/>
      <c r="M70" s="23"/>
      <c r="N70" s="4"/>
      <c r="O70" s="23"/>
      <c r="P70" s="23"/>
      <c r="Q70" s="4"/>
    </row>
    <row r="71" spans="1:17" x14ac:dyDescent="0.25">
      <c r="A71" s="876"/>
      <c r="B71" s="4"/>
      <c r="C71" s="23"/>
      <c r="D71" s="23"/>
      <c r="E71" s="23"/>
      <c r="F71" s="23"/>
      <c r="G71" s="23"/>
      <c r="H71" s="23"/>
      <c r="I71" s="23"/>
      <c r="J71" s="23"/>
      <c r="K71" s="23"/>
      <c r="L71" s="23"/>
      <c r="M71" s="23"/>
      <c r="N71" s="4"/>
      <c r="O71" s="23"/>
      <c r="P71" s="23"/>
      <c r="Q71" s="4"/>
    </row>
    <row r="72" spans="1:17" x14ac:dyDescent="0.25">
      <c r="A72" s="876"/>
      <c r="B72" s="4"/>
      <c r="C72" s="23"/>
      <c r="D72" s="23"/>
      <c r="E72" s="23"/>
      <c r="F72" s="23"/>
      <c r="G72" s="23"/>
      <c r="H72" s="23"/>
      <c r="I72" s="23"/>
      <c r="J72" s="23"/>
      <c r="K72" s="23"/>
      <c r="L72" s="23"/>
      <c r="M72" s="23"/>
      <c r="N72" s="4"/>
      <c r="O72" s="23"/>
      <c r="P72" s="23"/>
      <c r="Q72" s="4"/>
    </row>
    <row r="73" spans="1:17" x14ac:dyDescent="0.25">
      <c r="A73" s="876"/>
      <c r="B73" s="4"/>
      <c r="C73" s="23"/>
      <c r="D73" s="23"/>
      <c r="E73" s="23"/>
      <c r="F73" s="23"/>
      <c r="G73" s="23"/>
      <c r="H73" s="23"/>
      <c r="I73" s="23"/>
      <c r="J73" s="23"/>
      <c r="K73" s="23"/>
      <c r="L73" s="23"/>
      <c r="M73" s="23"/>
      <c r="N73" s="4"/>
      <c r="O73" s="23"/>
      <c r="P73" s="23"/>
      <c r="Q73" s="4"/>
    </row>
    <row r="74" spans="1:17" x14ac:dyDescent="0.25">
      <c r="A74" s="876"/>
      <c r="B74" s="4"/>
      <c r="C74" s="23"/>
      <c r="D74" s="23"/>
      <c r="E74" s="23"/>
      <c r="F74" s="23"/>
      <c r="G74" s="23"/>
      <c r="H74" s="23"/>
      <c r="I74" s="23"/>
      <c r="J74" s="23"/>
      <c r="K74" s="23"/>
      <c r="L74" s="23"/>
      <c r="M74" s="23"/>
      <c r="N74" s="4"/>
      <c r="O74" s="23"/>
      <c r="P74" s="23"/>
      <c r="Q74" s="4"/>
    </row>
    <row r="75" spans="1:17" x14ac:dyDescent="0.25">
      <c r="A75" s="876"/>
      <c r="B75" s="4"/>
      <c r="C75" s="23"/>
      <c r="D75" s="23"/>
      <c r="E75" s="23"/>
      <c r="F75" s="23"/>
      <c r="G75" s="23"/>
      <c r="H75" s="23"/>
      <c r="I75" s="23"/>
      <c r="J75" s="23"/>
      <c r="K75" s="23"/>
      <c r="L75" s="23"/>
      <c r="M75" s="23"/>
      <c r="N75" s="4"/>
      <c r="O75" s="23"/>
      <c r="P75" s="23"/>
      <c r="Q75" s="4"/>
    </row>
    <row r="76" spans="1:17" x14ac:dyDescent="0.25">
      <c r="A76" s="876"/>
      <c r="B76" s="4"/>
      <c r="C76" s="23"/>
      <c r="D76" s="23"/>
      <c r="E76" s="23"/>
      <c r="F76" s="23"/>
      <c r="G76" s="23"/>
      <c r="H76" s="23"/>
      <c r="I76" s="23"/>
      <c r="J76" s="23"/>
      <c r="K76" s="23"/>
      <c r="L76" s="23"/>
      <c r="M76" s="23"/>
      <c r="N76" s="4"/>
      <c r="O76" s="23"/>
      <c r="P76" s="23"/>
      <c r="Q76" s="4"/>
    </row>
    <row r="77" spans="1:17" x14ac:dyDescent="0.25">
      <c r="A77" s="876"/>
      <c r="B77" s="4"/>
      <c r="C77" s="23"/>
      <c r="D77" s="23"/>
      <c r="E77" s="23"/>
      <c r="F77" s="23"/>
      <c r="G77" s="23"/>
      <c r="H77" s="23"/>
      <c r="I77" s="23"/>
      <c r="J77" s="23"/>
      <c r="K77" s="23"/>
      <c r="L77" s="23"/>
      <c r="M77" s="23"/>
      <c r="N77" s="4"/>
      <c r="O77" s="23"/>
      <c r="P77" s="23"/>
      <c r="Q77" s="4"/>
    </row>
    <row r="78" spans="1:17" x14ac:dyDescent="0.25">
      <c r="A78" s="876"/>
      <c r="B78" s="4"/>
      <c r="C78" s="23"/>
      <c r="D78" s="23"/>
      <c r="E78" s="23"/>
      <c r="F78" s="23"/>
      <c r="G78" s="23"/>
      <c r="H78" s="23"/>
      <c r="I78" s="23"/>
      <c r="J78" s="23"/>
      <c r="K78" s="23"/>
      <c r="L78" s="23"/>
      <c r="M78" s="23"/>
      <c r="N78" s="4"/>
      <c r="O78" s="23"/>
      <c r="P78" s="23"/>
      <c r="Q78" s="4"/>
    </row>
    <row r="79" spans="1:17" x14ac:dyDescent="0.25">
      <c r="A79" s="876"/>
      <c r="B79" s="4"/>
      <c r="C79" s="23"/>
      <c r="D79" s="23"/>
      <c r="E79" s="23"/>
      <c r="F79" s="23"/>
      <c r="G79" s="23"/>
      <c r="H79" s="23"/>
      <c r="I79" s="23"/>
      <c r="J79" s="23"/>
      <c r="K79" s="23"/>
      <c r="L79" s="23"/>
      <c r="M79" s="23"/>
      <c r="N79" s="4"/>
      <c r="O79" s="23"/>
      <c r="P79" s="23"/>
      <c r="Q79" s="4"/>
    </row>
    <row r="80" spans="1:17" x14ac:dyDescent="0.25">
      <c r="A80" s="876"/>
      <c r="B80" s="4"/>
      <c r="C80" s="23"/>
      <c r="D80" s="23"/>
      <c r="E80" s="23"/>
      <c r="F80" s="23"/>
      <c r="G80" s="23"/>
      <c r="H80" s="23"/>
      <c r="I80" s="23"/>
      <c r="J80" s="23"/>
      <c r="K80" s="23"/>
      <c r="L80" s="23"/>
      <c r="M80" s="23"/>
      <c r="N80" s="4"/>
      <c r="O80" s="23"/>
      <c r="P80" s="23"/>
      <c r="Q80" s="4"/>
    </row>
    <row r="81" spans="1:17" x14ac:dyDescent="0.25">
      <c r="A81" s="876"/>
      <c r="B81" s="4"/>
      <c r="C81" s="23"/>
      <c r="D81" s="23"/>
      <c r="E81" s="23"/>
      <c r="F81" s="23"/>
      <c r="G81" s="23"/>
      <c r="H81" s="23"/>
      <c r="I81" s="23"/>
      <c r="J81" s="23"/>
      <c r="K81" s="23"/>
      <c r="L81" s="23"/>
      <c r="M81" s="23"/>
      <c r="N81" s="4"/>
      <c r="O81" s="23"/>
      <c r="P81" s="23"/>
      <c r="Q81" s="4"/>
    </row>
    <row r="82" spans="1:17" x14ac:dyDescent="0.25">
      <c r="A82" s="876"/>
      <c r="B82" s="4"/>
      <c r="C82" s="23"/>
      <c r="D82" s="23"/>
      <c r="E82" s="23"/>
      <c r="F82" s="23"/>
      <c r="G82" s="23"/>
      <c r="H82" s="23"/>
      <c r="I82" s="23"/>
      <c r="J82" s="23"/>
      <c r="K82" s="23"/>
      <c r="L82" s="23"/>
      <c r="M82" s="23"/>
      <c r="N82" s="4"/>
      <c r="O82" s="23"/>
      <c r="P82" s="23"/>
      <c r="Q82" s="4"/>
    </row>
    <row r="83" spans="1:17" x14ac:dyDescent="0.25">
      <c r="A83" s="876"/>
      <c r="B83" s="4"/>
      <c r="C83" s="23"/>
      <c r="D83" s="23"/>
      <c r="E83" s="23"/>
      <c r="F83" s="23"/>
      <c r="G83" s="23"/>
      <c r="H83" s="23"/>
      <c r="I83" s="23"/>
      <c r="J83" s="23"/>
      <c r="K83" s="23"/>
      <c r="L83" s="23"/>
      <c r="M83" s="23"/>
      <c r="N83" s="4"/>
      <c r="O83" s="23"/>
      <c r="P83" s="23"/>
      <c r="Q83" s="4"/>
    </row>
    <row r="84" spans="1:17" x14ac:dyDescent="0.25">
      <c r="A84" s="876"/>
      <c r="B84" s="4"/>
      <c r="C84" s="23"/>
      <c r="D84" s="23"/>
      <c r="E84" s="23"/>
      <c r="F84" s="23"/>
      <c r="G84" s="23"/>
      <c r="H84" s="23"/>
      <c r="I84" s="23"/>
      <c r="J84" s="23"/>
      <c r="K84" s="23"/>
      <c r="L84" s="23"/>
      <c r="M84" s="23"/>
      <c r="N84" s="4"/>
      <c r="O84" s="23"/>
      <c r="P84" s="23"/>
      <c r="Q84" s="4"/>
    </row>
    <row r="85" spans="1:17" x14ac:dyDescent="0.25">
      <c r="A85" s="876"/>
      <c r="B85" s="4"/>
      <c r="C85" s="23"/>
      <c r="D85" s="23"/>
      <c r="E85" s="23"/>
      <c r="F85" s="23"/>
      <c r="G85" s="23"/>
      <c r="H85" s="23"/>
      <c r="I85" s="23"/>
      <c r="J85" s="23"/>
      <c r="K85" s="23"/>
      <c r="L85" s="23"/>
      <c r="M85" s="23"/>
      <c r="N85" s="4"/>
      <c r="O85" s="23"/>
      <c r="P85" s="23"/>
      <c r="Q85" s="4"/>
    </row>
    <row r="86" spans="1:17" x14ac:dyDescent="0.25">
      <c r="A86" s="876"/>
      <c r="B86" s="4"/>
      <c r="C86" s="23"/>
      <c r="D86" s="23"/>
      <c r="E86" s="23"/>
      <c r="F86" s="23"/>
      <c r="G86" s="23"/>
      <c r="H86" s="23"/>
      <c r="I86" s="23"/>
      <c r="J86" s="23"/>
      <c r="K86" s="23"/>
      <c r="L86" s="23"/>
      <c r="M86" s="23"/>
      <c r="N86" s="4"/>
      <c r="O86" s="23"/>
      <c r="P86" s="23"/>
      <c r="Q86" s="4"/>
    </row>
    <row r="87" spans="1:17" x14ac:dyDescent="0.25">
      <c r="A87" s="876"/>
      <c r="B87" s="4"/>
      <c r="C87" s="23"/>
      <c r="D87" s="23"/>
      <c r="E87" s="23"/>
      <c r="F87" s="23"/>
      <c r="G87" s="23"/>
      <c r="H87" s="23"/>
      <c r="I87" s="23"/>
      <c r="J87" s="23"/>
      <c r="K87" s="23"/>
      <c r="L87" s="23"/>
      <c r="M87" s="23"/>
      <c r="N87" s="4"/>
      <c r="O87" s="23"/>
      <c r="P87" s="23"/>
      <c r="Q87" s="4"/>
    </row>
    <row r="88" spans="1:17" x14ac:dyDescent="0.25">
      <c r="A88" s="876"/>
      <c r="B88" s="4"/>
      <c r="C88" s="23"/>
      <c r="D88" s="23"/>
      <c r="E88" s="23"/>
      <c r="F88" s="23"/>
      <c r="G88" s="23"/>
      <c r="H88" s="23"/>
      <c r="I88" s="23"/>
      <c r="J88" s="23"/>
      <c r="K88" s="23"/>
      <c r="L88" s="23"/>
      <c r="M88" s="23"/>
      <c r="N88" s="4"/>
      <c r="O88" s="23"/>
      <c r="P88" s="23"/>
      <c r="Q88" s="4"/>
    </row>
    <row r="89" spans="1:17" x14ac:dyDescent="0.25">
      <c r="A89" s="876"/>
      <c r="B89" s="4"/>
      <c r="C89" s="23"/>
      <c r="D89" s="23"/>
      <c r="E89" s="23"/>
      <c r="F89" s="23"/>
      <c r="G89" s="23"/>
      <c r="H89" s="23"/>
      <c r="I89" s="23"/>
      <c r="J89" s="23"/>
      <c r="K89" s="23"/>
      <c r="L89" s="23"/>
      <c r="M89" s="23"/>
      <c r="N89" s="4"/>
      <c r="O89" s="23"/>
      <c r="P89" s="23"/>
      <c r="Q89" s="4"/>
    </row>
    <row r="90" spans="1:17" x14ac:dyDescent="0.25">
      <c r="A90" s="876"/>
      <c r="B90" s="4"/>
      <c r="C90" s="23"/>
      <c r="D90" s="23"/>
      <c r="E90" s="23"/>
      <c r="F90" s="23"/>
      <c r="G90" s="23"/>
      <c r="H90" s="23"/>
      <c r="I90" s="23"/>
      <c r="J90" s="23"/>
      <c r="K90" s="23"/>
      <c r="L90" s="23"/>
      <c r="M90" s="23"/>
      <c r="N90" s="4"/>
      <c r="O90" s="23"/>
      <c r="P90" s="23"/>
      <c r="Q90" s="4"/>
    </row>
    <row r="91" spans="1:17" x14ac:dyDescent="0.25">
      <c r="A91" s="876"/>
      <c r="B91" s="4"/>
      <c r="C91" s="23"/>
      <c r="D91" s="23"/>
      <c r="E91" s="23"/>
      <c r="F91" s="23"/>
      <c r="G91" s="23"/>
      <c r="H91" s="23"/>
      <c r="I91" s="23"/>
      <c r="J91" s="23"/>
      <c r="K91" s="23"/>
      <c r="L91" s="23"/>
      <c r="M91" s="23"/>
      <c r="N91" s="4"/>
      <c r="O91" s="23"/>
      <c r="P91" s="23"/>
      <c r="Q91" s="4"/>
    </row>
    <row r="92" spans="1:17" x14ac:dyDescent="0.25">
      <c r="A92" s="876"/>
      <c r="B92" s="4"/>
      <c r="C92" s="23"/>
      <c r="D92" s="23"/>
      <c r="E92" s="23"/>
      <c r="F92" s="23"/>
      <c r="G92" s="23"/>
      <c r="H92" s="23"/>
      <c r="I92" s="23"/>
      <c r="J92" s="23"/>
      <c r="K92" s="23"/>
      <c r="L92" s="23"/>
      <c r="M92" s="23"/>
      <c r="N92" s="4"/>
      <c r="O92" s="23"/>
      <c r="P92" s="23"/>
      <c r="Q92" s="4"/>
    </row>
    <row r="93" spans="1:17" x14ac:dyDescent="0.25">
      <c r="A93" s="876"/>
      <c r="B93" s="4"/>
      <c r="C93" s="23"/>
      <c r="D93" s="23"/>
      <c r="E93" s="23"/>
      <c r="F93" s="23"/>
      <c r="G93" s="23"/>
      <c r="H93" s="23"/>
      <c r="I93" s="23"/>
      <c r="J93" s="23"/>
      <c r="K93" s="23"/>
      <c r="L93" s="23"/>
      <c r="M93" s="23"/>
      <c r="N93" s="4"/>
      <c r="O93" s="23"/>
      <c r="P93" s="23"/>
      <c r="Q93" s="4"/>
    </row>
    <row r="94" spans="1:17" x14ac:dyDescent="0.25">
      <c r="A94" s="876"/>
      <c r="B94" s="4"/>
      <c r="C94" s="23"/>
      <c r="D94" s="23"/>
      <c r="E94" s="23"/>
      <c r="F94" s="23"/>
      <c r="G94" s="23"/>
      <c r="H94" s="23"/>
      <c r="I94" s="23"/>
      <c r="J94" s="23"/>
      <c r="K94" s="23"/>
      <c r="L94" s="23"/>
      <c r="M94" s="23"/>
      <c r="N94" s="4"/>
      <c r="O94" s="23"/>
      <c r="P94" s="23"/>
      <c r="Q94" s="4"/>
    </row>
    <row r="95" spans="1:17" x14ac:dyDescent="0.25">
      <c r="A95" s="876"/>
      <c r="B95" s="4"/>
      <c r="C95" s="23"/>
      <c r="D95" s="23"/>
      <c r="E95" s="23"/>
      <c r="F95" s="23"/>
      <c r="G95" s="23"/>
      <c r="H95" s="23"/>
      <c r="I95" s="23"/>
      <c r="J95" s="23"/>
      <c r="K95" s="23"/>
      <c r="L95" s="23"/>
      <c r="M95" s="23"/>
      <c r="N95" s="4"/>
      <c r="O95" s="23"/>
      <c r="P95" s="23"/>
      <c r="Q95" s="4"/>
    </row>
    <row r="96" spans="1:17" x14ac:dyDescent="0.25">
      <c r="A96" s="876"/>
      <c r="B96" s="4"/>
      <c r="C96" s="23"/>
      <c r="D96" s="23"/>
      <c r="E96" s="23"/>
      <c r="F96" s="23"/>
      <c r="G96" s="23"/>
      <c r="H96" s="23"/>
      <c r="I96" s="23"/>
      <c r="J96" s="23"/>
      <c r="K96" s="23"/>
      <c r="L96" s="23"/>
      <c r="M96" s="23"/>
      <c r="N96" s="4"/>
      <c r="O96" s="23"/>
      <c r="P96" s="23"/>
      <c r="Q96" s="4"/>
    </row>
    <row r="97" spans="1:17" x14ac:dyDescent="0.25">
      <c r="A97" s="876"/>
      <c r="B97" s="4"/>
      <c r="C97" s="23"/>
      <c r="D97" s="23"/>
      <c r="E97" s="23"/>
      <c r="F97" s="23"/>
      <c r="G97" s="23"/>
      <c r="H97" s="23"/>
      <c r="I97" s="23"/>
      <c r="J97" s="23"/>
      <c r="K97" s="23"/>
      <c r="L97" s="23"/>
      <c r="M97" s="23"/>
      <c r="N97" s="4"/>
      <c r="O97" s="23"/>
      <c r="P97" s="23"/>
      <c r="Q97" s="4"/>
    </row>
    <row r="98" spans="1:17" x14ac:dyDescent="0.25">
      <c r="A98" s="876"/>
      <c r="B98" s="4"/>
      <c r="C98" s="23"/>
      <c r="D98" s="23"/>
      <c r="E98" s="23"/>
      <c r="F98" s="23"/>
      <c r="G98" s="23"/>
      <c r="H98" s="23"/>
      <c r="I98" s="23"/>
      <c r="J98" s="23"/>
      <c r="K98" s="23"/>
      <c r="L98" s="23"/>
      <c r="M98" s="23"/>
      <c r="N98" s="4"/>
      <c r="O98" s="23"/>
      <c r="P98" s="23"/>
      <c r="Q98" s="4"/>
    </row>
    <row r="99" spans="1:17" x14ac:dyDescent="0.25">
      <c r="A99" s="876"/>
      <c r="B99" s="4"/>
      <c r="C99" s="23"/>
      <c r="D99" s="23"/>
      <c r="E99" s="23"/>
      <c r="F99" s="23"/>
      <c r="G99" s="23"/>
      <c r="H99" s="23"/>
      <c r="I99" s="23"/>
      <c r="J99" s="23"/>
      <c r="K99" s="23"/>
      <c r="L99" s="23"/>
      <c r="M99" s="23"/>
      <c r="N99" s="4"/>
      <c r="O99" s="23"/>
      <c r="P99" s="23"/>
      <c r="Q99" s="4"/>
    </row>
    <row r="100" spans="1:17" x14ac:dyDescent="0.25">
      <c r="A100" s="876"/>
      <c r="B100" s="4"/>
      <c r="C100" s="23"/>
      <c r="D100" s="23"/>
      <c r="E100" s="23"/>
      <c r="F100" s="23"/>
      <c r="G100" s="23"/>
      <c r="H100" s="23"/>
      <c r="I100" s="23"/>
      <c r="J100" s="23"/>
      <c r="K100" s="23"/>
      <c r="L100" s="23"/>
      <c r="M100" s="23"/>
      <c r="N100" s="4"/>
      <c r="O100" s="23"/>
      <c r="P100" s="23"/>
      <c r="Q100" s="4"/>
    </row>
    <row r="101" spans="1:17" x14ac:dyDescent="0.25">
      <c r="A101" s="876"/>
      <c r="B101" s="4"/>
      <c r="C101" s="23"/>
      <c r="D101" s="23"/>
      <c r="E101" s="23"/>
      <c r="F101" s="23"/>
      <c r="G101" s="23"/>
      <c r="H101" s="23"/>
      <c r="I101" s="23"/>
      <c r="J101" s="23"/>
      <c r="K101" s="23"/>
      <c r="L101" s="23"/>
      <c r="M101" s="23"/>
      <c r="N101" s="4"/>
      <c r="O101" s="23"/>
      <c r="P101" s="23"/>
      <c r="Q101" s="4"/>
    </row>
    <row r="102" spans="1:17" x14ac:dyDescent="0.25">
      <c r="A102" s="876"/>
      <c r="B102" s="4"/>
      <c r="C102" s="23"/>
      <c r="D102" s="23"/>
      <c r="E102" s="23"/>
      <c r="F102" s="23"/>
      <c r="G102" s="23"/>
      <c r="H102" s="23"/>
      <c r="I102" s="23"/>
      <c r="J102" s="23"/>
      <c r="K102" s="23"/>
      <c r="L102" s="23"/>
      <c r="M102" s="23"/>
      <c r="N102" s="4"/>
      <c r="O102" s="23"/>
      <c r="P102" s="23"/>
      <c r="Q102" s="4"/>
    </row>
    <row r="103" spans="1:17" x14ac:dyDescent="0.25">
      <c r="A103" s="876"/>
      <c r="B103" s="4"/>
      <c r="C103" s="23"/>
      <c r="D103" s="23"/>
      <c r="E103" s="23"/>
      <c r="F103" s="23"/>
      <c r="G103" s="23"/>
      <c r="H103" s="23"/>
      <c r="I103" s="23"/>
      <c r="J103" s="23"/>
      <c r="K103" s="23"/>
      <c r="L103" s="23"/>
      <c r="M103" s="23"/>
      <c r="N103" s="4"/>
      <c r="O103" s="23"/>
      <c r="P103" s="23"/>
      <c r="Q103" s="4"/>
    </row>
    <row r="104" spans="1:17" x14ac:dyDescent="0.25">
      <c r="A104" s="876"/>
      <c r="B104" s="4"/>
      <c r="C104" s="23"/>
      <c r="D104" s="23"/>
      <c r="E104" s="23"/>
      <c r="F104" s="23"/>
      <c r="G104" s="23"/>
      <c r="H104" s="23"/>
      <c r="I104" s="23"/>
      <c r="J104" s="23"/>
      <c r="K104" s="23"/>
      <c r="L104" s="23"/>
      <c r="M104" s="23"/>
      <c r="N104" s="4"/>
      <c r="O104" s="23"/>
      <c r="P104" s="23"/>
      <c r="Q104" s="4"/>
    </row>
    <row r="105" spans="1:17" x14ac:dyDescent="0.25">
      <c r="A105" s="876"/>
      <c r="B105" s="4"/>
      <c r="C105" s="23"/>
      <c r="D105" s="23"/>
      <c r="E105" s="23"/>
      <c r="F105" s="23"/>
      <c r="G105" s="23"/>
      <c r="H105" s="23"/>
      <c r="I105" s="23"/>
      <c r="J105" s="23"/>
      <c r="K105" s="23"/>
      <c r="L105" s="23"/>
      <c r="M105" s="23"/>
      <c r="N105" s="4"/>
      <c r="O105" s="23"/>
      <c r="P105" s="23"/>
      <c r="Q105" s="4"/>
    </row>
    <row r="106" spans="1:17" x14ac:dyDescent="0.25">
      <c r="A106" s="876"/>
      <c r="B106" s="4"/>
      <c r="C106" s="23"/>
      <c r="D106" s="23"/>
      <c r="E106" s="23"/>
      <c r="F106" s="23"/>
      <c r="G106" s="23"/>
      <c r="H106" s="23"/>
      <c r="I106" s="23"/>
      <c r="J106" s="23"/>
      <c r="K106" s="23"/>
      <c r="L106" s="23"/>
      <c r="M106" s="23"/>
      <c r="N106" s="4"/>
      <c r="O106" s="23"/>
      <c r="P106" s="23"/>
      <c r="Q106" s="4"/>
    </row>
    <row r="107" spans="1:17" x14ac:dyDescent="0.25">
      <c r="A107" s="876"/>
      <c r="B107" s="4"/>
      <c r="C107" s="23"/>
      <c r="D107" s="23"/>
      <c r="E107" s="23"/>
      <c r="F107" s="23"/>
      <c r="G107" s="23"/>
      <c r="H107" s="23"/>
      <c r="I107" s="23"/>
      <c r="J107" s="23"/>
      <c r="K107" s="23"/>
      <c r="L107" s="23"/>
      <c r="M107" s="23"/>
      <c r="N107" s="4"/>
      <c r="O107" s="23"/>
      <c r="P107" s="23"/>
      <c r="Q107" s="4"/>
    </row>
    <row r="108" spans="1:17" x14ac:dyDescent="0.25">
      <c r="A108" s="876"/>
      <c r="B108" s="4"/>
      <c r="C108" s="23"/>
      <c r="D108" s="23"/>
      <c r="E108" s="23"/>
      <c r="F108" s="23"/>
      <c r="G108" s="23"/>
      <c r="H108" s="23"/>
      <c r="I108" s="23"/>
      <c r="J108" s="23"/>
      <c r="K108" s="23"/>
      <c r="L108" s="23"/>
      <c r="M108" s="23"/>
      <c r="N108" s="4"/>
      <c r="O108" s="23"/>
      <c r="P108" s="23"/>
      <c r="Q108" s="4"/>
    </row>
    <row r="109" spans="1:17" x14ac:dyDescent="0.25">
      <c r="A109" s="876"/>
      <c r="B109" s="4"/>
      <c r="C109" s="23"/>
      <c r="D109" s="23"/>
      <c r="E109" s="23"/>
      <c r="F109" s="23"/>
      <c r="G109" s="23"/>
      <c r="H109" s="23"/>
      <c r="I109" s="23"/>
      <c r="J109" s="23"/>
      <c r="K109" s="23"/>
      <c r="L109" s="23"/>
      <c r="M109" s="23"/>
      <c r="N109" s="4"/>
      <c r="O109" s="23"/>
      <c r="P109" s="23"/>
      <c r="Q109" s="4"/>
    </row>
    <row r="110" spans="1:17" x14ac:dyDescent="0.25">
      <c r="A110" s="876"/>
      <c r="B110" s="4"/>
      <c r="C110" s="23"/>
      <c r="D110" s="23"/>
      <c r="E110" s="23"/>
      <c r="F110" s="23"/>
      <c r="G110" s="23"/>
      <c r="H110" s="23"/>
      <c r="I110" s="23"/>
      <c r="J110" s="23"/>
      <c r="K110" s="23"/>
      <c r="L110" s="23"/>
      <c r="M110" s="23"/>
      <c r="N110" s="4"/>
      <c r="O110" s="23"/>
      <c r="P110" s="23"/>
      <c r="Q110" s="4"/>
    </row>
    <row r="111" spans="1:17" x14ac:dyDescent="0.25">
      <c r="A111" s="876"/>
      <c r="B111" s="4"/>
      <c r="C111" s="23"/>
      <c r="D111" s="23"/>
      <c r="E111" s="23"/>
      <c r="F111" s="23"/>
      <c r="G111" s="23"/>
      <c r="H111" s="23"/>
      <c r="I111" s="23"/>
      <c r="J111" s="23"/>
      <c r="K111" s="23"/>
      <c r="L111" s="23"/>
      <c r="M111" s="23"/>
      <c r="N111" s="4"/>
      <c r="O111" s="23"/>
      <c r="P111" s="23"/>
      <c r="Q111" s="4"/>
    </row>
    <row r="112" spans="1:17" x14ac:dyDescent="0.25">
      <c r="A112" s="876"/>
      <c r="B112" s="4"/>
      <c r="C112" s="23"/>
      <c r="D112" s="23"/>
      <c r="E112" s="23"/>
      <c r="F112" s="23"/>
      <c r="G112" s="23"/>
      <c r="H112" s="23"/>
      <c r="I112" s="23"/>
      <c r="J112" s="23"/>
      <c r="K112" s="23"/>
      <c r="L112" s="23"/>
      <c r="M112" s="23"/>
      <c r="N112" s="4"/>
      <c r="O112" s="23"/>
      <c r="P112" s="23"/>
      <c r="Q112" s="4"/>
    </row>
    <row r="113" spans="1:17" x14ac:dyDescent="0.25">
      <c r="A113" s="876"/>
      <c r="B113" s="4"/>
      <c r="C113" s="23"/>
      <c r="D113" s="23"/>
      <c r="E113" s="23"/>
      <c r="F113" s="23"/>
      <c r="G113" s="23"/>
      <c r="H113" s="23"/>
      <c r="I113" s="23"/>
      <c r="J113" s="23"/>
      <c r="K113" s="23"/>
      <c r="L113" s="23"/>
      <c r="M113" s="23"/>
      <c r="N113" s="4"/>
      <c r="O113" s="23"/>
      <c r="P113" s="23"/>
      <c r="Q113" s="4"/>
    </row>
    <row r="114" spans="1:17" x14ac:dyDescent="0.25">
      <c r="A114" s="876"/>
      <c r="B114" s="4"/>
      <c r="C114" s="23"/>
      <c r="D114" s="23"/>
      <c r="E114" s="23"/>
      <c r="F114" s="23"/>
      <c r="G114" s="23"/>
      <c r="H114" s="23"/>
      <c r="I114" s="23"/>
      <c r="J114" s="23"/>
      <c r="K114" s="23"/>
      <c r="L114" s="23"/>
      <c r="M114" s="23"/>
      <c r="N114" s="4"/>
      <c r="O114" s="23"/>
      <c r="P114" s="23"/>
      <c r="Q114" s="4"/>
    </row>
    <row r="115" spans="1:17" x14ac:dyDescent="0.25">
      <c r="A115" s="876"/>
      <c r="B115" s="4"/>
      <c r="C115" s="23"/>
      <c r="D115" s="23"/>
      <c r="E115" s="23"/>
      <c r="F115" s="23"/>
      <c r="G115" s="23"/>
      <c r="H115" s="23"/>
      <c r="I115" s="23"/>
      <c r="J115" s="23"/>
      <c r="K115" s="23"/>
      <c r="L115" s="23"/>
      <c r="M115" s="23"/>
      <c r="N115" s="4"/>
      <c r="O115" s="23"/>
      <c r="P115" s="23"/>
      <c r="Q115" s="4"/>
    </row>
    <row r="116" spans="1:17" x14ac:dyDescent="0.25">
      <c r="A116" s="876"/>
      <c r="B116" s="4"/>
      <c r="C116" s="23"/>
      <c r="D116" s="23"/>
      <c r="E116" s="23"/>
      <c r="F116" s="23"/>
      <c r="G116" s="23"/>
      <c r="H116" s="23"/>
      <c r="I116" s="23"/>
      <c r="J116" s="23"/>
      <c r="K116" s="23"/>
      <c r="L116" s="23"/>
      <c r="M116" s="23"/>
      <c r="N116" s="4"/>
      <c r="O116" s="23"/>
      <c r="P116" s="23"/>
      <c r="Q116" s="4"/>
    </row>
    <row r="117" spans="1:17" x14ac:dyDescent="0.25">
      <c r="A117" s="876"/>
      <c r="B117" s="4"/>
      <c r="C117" s="23"/>
      <c r="D117" s="23"/>
      <c r="E117" s="23"/>
      <c r="F117" s="23"/>
      <c r="G117" s="23"/>
      <c r="H117" s="23"/>
      <c r="I117" s="23"/>
      <c r="J117" s="23"/>
      <c r="K117" s="23"/>
      <c r="L117" s="23"/>
      <c r="M117" s="23"/>
      <c r="N117" s="4"/>
      <c r="O117" s="23"/>
      <c r="P117" s="23"/>
      <c r="Q117" s="4"/>
    </row>
    <row r="118" spans="1:17" x14ac:dyDescent="0.25">
      <c r="A118" s="876"/>
      <c r="B118" s="4"/>
      <c r="C118" s="23"/>
      <c r="D118" s="23"/>
      <c r="E118" s="23"/>
      <c r="F118" s="23"/>
      <c r="G118" s="23"/>
      <c r="H118" s="23"/>
      <c r="I118" s="23"/>
      <c r="J118" s="23"/>
      <c r="K118" s="23"/>
      <c r="L118" s="23"/>
      <c r="M118" s="23"/>
      <c r="N118" s="4"/>
      <c r="O118" s="23"/>
      <c r="P118" s="23"/>
      <c r="Q118" s="4"/>
    </row>
    <row r="119" spans="1:17" x14ac:dyDescent="0.25">
      <c r="A119" s="876"/>
      <c r="B119" s="4"/>
      <c r="C119" s="23"/>
      <c r="D119" s="23"/>
      <c r="E119" s="23"/>
      <c r="F119" s="23"/>
      <c r="G119" s="23"/>
      <c r="H119" s="23"/>
      <c r="I119" s="23"/>
      <c r="J119" s="23"/>
      <c r="K119" s="23"/>
      <c r="L119" s="23"/>
      <c r="M119" s="23"/>
      <c r="N119" s="4"/>
      <c r="O119" s="23"/>
      <c r="P119" s="23"/>
      <c r="Q119" s="4"/>
    </row>
    <row r="120" spans="1:17" x14ac:dyDescent="0.25">
      <c r="A120" s="876"/>
      <c r="B120" s="4"/>
      <c r="C120" s="23"/>
      <c r="D120" s="23"/>
      <c r="E120" s="23"/>
      <c r="F120" s="23"/>
      <c r="G120" s="23"/>
      <c r="H120" s="23"/>
      <c r="I120" s="23"/>
      <c r="J120" s="23"/>
      <c r="K120" s="23"/>
      <c r="L120" s="23"/>
      <c r="M120" s="23"/>
      <c r="N120" s="4"/>
      <c r="O120" s="23"/>
      <c r="P120" s="23"/>
      <c r="Q120" s="4"/>
    </row>
    <row r="121" spans="1:17" x14ac:dyDescent="0.25">
      <c r="A121" s="876"/>
      <c r="B121" s="4"/>
      <c r="C121" s="23"/>
      <c r="D121" s="23"/>
      <c r="E121" s="23"/>
      <c r="F121" s="23"/>
      <c r="G121" s="23"/>
      <c r="H121" s="23"/>
      <c r="I121" s="23"/>
      <c r="J121" s="23"/>
      <c r="K121" s="23"/>
      <c r="L121" s="23"/>
      <c r="M121" s="23"/>
      <c r="N121" s="4"/>
      <c r="O121" s="23"/>
      <c r="P121" s="23"/>
      <c r="Q121" s="4"/>
    </row>
    <row r="122" spans="1:17" x14ac:dyDescent="0.25">
      <c r="A122" s="876"/>
      <c r="B122" s="4"/>
      <c r="C122" s="23"/>
      <c r="D122" s="23"/>
      <c r="E122" s="23"/>
      <c r="F122" s="23"/>
      <c r="G122" s="23"/>
      <c r="H122" s="23"/>
      <c r="I122" s="23"/>
      <c r="J122" s="23"/>
      <c r="K122" s="23"/>
      <c r="L122" s="23"/>
      <c r="M122" s="23"/>
      <c r="N122" s="4"/>
      <c r="O122" s="23"/>
      <c r="P122" s="23"/>
      <c r="Q122" s="4"/>
    </row>
    <row r="123" spans="1:17" x14ac:dyDescent="0.25">
      <c r="A123" s="876"/>
      <c r="B123" s="4"/>
      <c r="C123" s="23"/>
      <c r="D123" s="23"/>
      <c r="E123" s="23"/>
      <c r="F123" s="23"/>
      <c r="G123" s="23"/>
      <c r="H123" s="23"/>
      <c r="I123" s="23"/>
      <c r="J123" s="23"/>
      <c r="K123" s="23"/>
      <c r="L123" s="23"/>
      <c r="M123" s="23"/>
      <c r="N123" s="4"/>
      <c r="O123" s="23"/>
      <c r="P123" s="23"/>
      <c r="Q123" s="4"/>
    </row>
    <row r="124" spans="1:17" x14ac:dyDescent="0.25">
      <c r="C124" s="114"/>
    </row>
    <row r="125" spans="1:17" x14ac:dyDescent="0.25">
      <c r="C125" s="114"/>
    </row>
    <row r="126" spans="1:17" x14ac:dyDescent="0.25">
      <c r="C126" s="114"/>
    </row>
    <row r="127" spans="1:17" x14ac:dyDescent="0.25">
      <c r="C127" s="114"/>
    </row>
    <row r="128" spans="1:17" x14ac:dyDescent="0.25">
      <c r="C128" s="114"/>
    </row>
    <row r="129" spans="3:3" x14ac:dyDescent="0.25">
      <c r="C129" s="114"/>
    </row>
    <row r="130" spans="3:3" x14ac:dyDescent="0.25">
      <c r="C130" s="114"/>
    </row>
    <row r="131" spans="3:3" x14ac:dyDescent="0.25">
      <c r="C131" s="114"/>
    </row>
    <row r="132" spans="3:3" x14ac:dyDescent="0.25">
      <c r="C132" s="114"/>
    </row>
    <row r="133" spans="3:3" x14ac:dyDescent="0.25">
      <c r="C133" s="114"/>
    </row>
    <row r="134" spans="3:3" x14ac:dyDescent="0.25">
      <c r="C134" s="114"/>
    </row>
    <row r="135" spans="3:3" x14ac:dyDescent="0.25">
      <c r="C135" s="114"/>
    </row>
    <row r="136" spans="3:3" x14ac:dyDescent="0.25">
      <c r="C136" s="114"/>
    </row>
    <row r="137" spans="3:3" x14ac:dyDescent="0.25">
      <c r="C137" s="114"/>
    </row>
    <row r="138" spans="3:3" x14ac:dyDescent="0.25">
      <c r="C138" s="114"/>
    </row>
    <row r="139" spans="3:3" x14ac:dyDescent="0.25">
      <c r="C139" s="114"/>
    </row>
    <row r="140" spans="3:3" x14ac:dyDescent="0.25">
      <c r="C140" s="114"/>
    </row>
    <row r="141" spans="3:3" x14ac:dyDescent="0.25">
      <c r="C141" s="114"/>
    </row>
    <row r="142" spans="3:3" x14ac:dyDescent="0.25">
      <c r="C142" s="114"/>
    </row>
    <row r="143" spans="3:3" x14ac:dyDescent="0.25">
      <c r="C143" s="114"/>
    </row>
    <row r="144" spans="3:3" x14ac:dyDescent="0.25">
      <c r="C144" s="114"/>
    </row>
    <row r="145" spans="3:3" x14ac:dyDescent="0.25">
      <c r="C145" s="114"/>
    </row>
    <row r="146" spans="3:3" x14ac:dyDescent="0.25">
      <c r="C146" s="114"/>
    </row>
    <row r="147" spans="3:3" x14ac:dyDescent="0.25">
      <c r="C147" s="114"/>
    </row>
    <row r="148" spans="3:3" x14ac:dyDescent="0.25">
      <c r="C148" s="114"/>
    </row>
    <row r="149" spans="3:3" x14ac:dyDescent="0.25">
      <c r="C149" s="114"/>
    </row>
    <row r="150" spans="3:3" x14ac:dyDescent="0.25">
      <c r="C150" s="114"/>
    </row>
    <row r="151" spans="3:3" x14ac:dyDescent="0.25">
      <c r="C151" s="114"/>
    </row>
    <row r="152" spans="3:3" x14ac:dyDescent="0.25">
      <c r="C152" s="114"/>
    </row>
    <row r="153" spans="3:3" x14ac:dyDescent="0.25">
      <c r="C153" s="114"/>
    </row>
    <row r="154" spans="3:3" x14ac:dyDescent="0.25">
      <c r="C154" s="114"/>
    </row>
    <row r="155" spans="3:3" x14ac:dyDescent="0.25">
      <c r="C155" s="114"/>
    </row>
  </sheetData>
  <phoneticPr fontId="0" type="noConversion"/>
  <hyperlinks>
    <hyperlink ref="A1" location="'Working Budget with funding det'!A1" display="Main " xr:uid="{00000000-0004-0000-3B00-000000000000}"/>
    <hyperlink ref="B1" location="'Table of Contents'!A1" display="TOC" xr:uid="{00000000-0004-0000-3B00-000001000000}"/>
  </hyperlinks>
  <pageMargins left="0.75" right="0.75" top="0.51" bottom="0.5" header="0.5" footer="0.5"/>
  <pageSetup scale="98" fitToHeight="0" orientation="landscape" horizontalDpi="300" verticalDpi="300" r:id="rId1"/>
  <headerFooter alignWithMargins="0">
    <oddFooter>&amp;L&amp;D     &amp;T&amp;C&amp;F&amp;R&amp;A</oddFooter>
  </headerFooter>
  <rowBreaks count="1" manualBreakCount="1">
    <brk id="30" max="11"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92D050"/>
    <pageSetUpPr fitToPage="1"/>
  </sheetPr>
  <dimension ref="A1:S145"/>
  <sheetViews>
    <sheetView workbookViewId="0">
      <selection activeCell="P1" sqref="P1:P1048576"/>
    </sheetView>
  </sheetViews>
  <sheetFormatPr defaultRowHeight="13.2" x14ac:dyDescent="0.25"/>
  <cols>
    <col min="1" max="1" width="10.33203125" style="876" bestFit="1" customWidth="1"/>
    <col min="2" max="2" width="36.6640625" style="4" customWidth="1"/>
    <col min="3" max="10" width="14.44140625" style="23" hidden="1" customWidth="1"/>
    <col min="11" max="13" width="14.44140625" style="23" customWidth="1"/>
    <col min="14" max="14" width="14.44140625" style="4" customWidth="1"/>
    <col min="15" max="16" width="14.44140625" style="23" customWidth="1"/>
    <col min="17" max="19" width="14.44140625" customWidth="1"/>
    <col min="20" max="20" width="14.6640625" customWidth="1"/>
  </cols>
  <sheetData>
    <row r="1" spans="1:19" x14ac:dyDescent="0.25">
      <c r="A1" s="897" t="s">
        <v>1021</v>
      </c>
      <c r="B1" s="371" t="s">
        <v>1348</v>
      </c>
      <c r="C1" s="105"/>
      <c r="D1" s="105"/>
      <c r="E1" s="105"/>
      <c r="F1" s="105"/>
      <c r="G1" s="105"/>
      <c r="H1" s="105"/>
      <c r="I1" s="105"/>
      <c r="J1" s="105"/>
      <c r="K1" s="105"/>
      <c r="L1" s="105"/>
      <c r="M1" s="105"/>
      <c r="N1" s="95"/>
      <c r="O1" s="105"/>
      <c r="P1" s="95"/>
    </row>
    <row r="2" spans="1:19" x14ac:dyDescent="0.25">
      <c r="A2" s="898" t="s">
        <v>269</v>
      </c>
      <c r="B2" s="95"/>
      <c r="C2" s="105"/>
      <c r="E2" s="105"/>
      <c r="I2" s="105" t="s">
        <v>257</v>
      </c>
      <c r="J2" s="105"/>
      <c r="K2" s="105"/>
      <c r="L2" s="105"/>
      <c r="M2" s="105"/>
      <c r="N2" s="388" t="s">
        <v>374</v>
      </c>
      <c r="O2" s="105"/>
      <c r="P2" s="389" t="s">
        <v>511</v>
      </c>
    </row>
    <row r="3" spans="1:19" ht="13.8" thickBot="1" x14ac:dyDescent="0.3">
      <c r="A3" s="898"/>
      <c r="B3" s="95"/>
      <c r="C3" s="105"/>
      <c r="D3" s="105"/>
      <c r="E3" s="105"/>
      <c r="F3" s="105"/>
      <c r="G3" s="105"/>
      <c r="H3" s="105"/>
      <c r="I3" s="105"/>
      <c r="J3" s="105"/>
      <c r="K3" s="105"/>
      <c r="L3" s="105"/>
      <c r="M3" s="105"/>
      <c r="N3" s="95"/>
      <c r="O3" s="105"/>
      <c r="P3" s="95"/>
      <c r="S3" s="4"/>
    </row>
    <row r="4" spans="1:19" ht="13.8" thickTop="1" x14ac:dyDescent="0.25">
      <c r="A4" s="899"/>
      <c r="B4" s="706"/>
      <c r="C4" s="390" t="s">
        <v>127</v>
      </c>
      <c r="D4" s="390" t="s">
        <v>127</v>
      </c>
      <c r="E4" s="390" t="s">
        <v>127</v>
      </c>
      <c r="F4" s="390" t="s">
        <v>127</v>
      </c>
      <c r="G4" s="390" t="s">
        <v>127</v>
      </c>
      <c r="H4" s="392" t="s">
        <v>127</v>
      </c>
      <c r="I4" s="391" t="s">
        <v>127</v>
      </c>
      <c r="J4" s="391" t="s">
        <v>127</v>
      </c>
      <c r="K4" s="391" t="s">
        <v>547</v>
      </c>
      <c r="L4" s="391" t="s">
        <v>127</v>
      </c>
      <c r="M4" s="391" t="s">
        <v>547</v>
      </c>
      <c r="N4" s="392" t="s">
        <v>495</v>
      </c>
      <c r="O4" s="336" t="s">
        <v>910</v>
      </c>
      <c r="P4" s="393" t="s">
        <v>910</v>
      </c>
    </row>
    <row r="5" spans="1:19" x14ac:dyDescent="0.25">
      <c r="A5" s="900"/>
      <c r="B5" s="707"/>
      <c r="C5" s="394"/>
      <c r="D5" s="394"/>
      <c r="E5" s="395"/>
      <c r="F5" s="394"/>
      <c r="G5" s="394"/>
      <c r="H5" s="395"/>
      <c r="I5" s="396"/>
      <c r="J5" s="396"/>
      <c r="K5" s="396"/>
      <c r="L5" s="396"/>
      <c r="M5" s="396"/>
      <c r="N5" s="395" t="s">
        <v>515</v>
      </c>
      <c r="O5" s="337" t="s">
        <v>7</v>
      </c>
      <c r="P5" s="397" t="s">
        <v>782</v>
      </c>
    </row>
    <row r="6" spans="1:19" x14ac:dyDescent="0.25">
      <c r="A6" s="900"/>
      <c r="B6" s="707"/>
      <c r="C6" s="394"/>
      <c r="D6" s="394"/>
      <c r="E6" s="395"/>
      <c r="F6" s="394"/>
      <c r="G6" s="395"/>
      <c r="H6" s="395"/>
      <c r="I6" s="396"/>
      <c r="J6" s="396"/>
      <c r="K6" s="396"/>
      <c r="L6" s="396"/>
      <c r="M6" s="396"/>
      <c r="N6" s="395"/>
      <c r="O6" s="337" t="s">
        <v>8</v>
      </c>
      <c r="P6" s="247" t="s">
        <v>543</v>
      </c>
    </row>
    <row r="7" spans="1:19" ht="13.8" thickBot="1" x14ac:dyDescent="0.3">
      <c r="A7" s="901" t="s">
        <v>128</v>
      </c>
      <c r="B7" s="708"/>
      <c r="C7" s="398" t="s">
        <v>347</v>
      </c>
      <c r="D7" s="398" t="s">
        <v>722</v>
      </c>
      <c r="E7" s="399" t="s">
        <v>737</v>
      </c>
      <c r="F7" s="338" t="s">
        <v>789</v>
      </c>
      <c r="G7" s="399" t="s">
        <v>889</v>
      </c>
      <c r="H7" s="399" t="s">
        <v>1018</v>
      </c>
      <c r="I7" s="399" t="s">
        <v>1072</v>
      </c>
      <c r="J7" s="399" t="s">
        <v>907</v>
      </c>
      <c r="K7" s="399" t="s">
        <v>908</v>
      </c>
      <c r="L7" s="399" t="s">
        <v>908</v>
      </c>
      <c r="M7" s="399" t="s">
        <v>909</v>
      </c>
      <c r="N7" s="400">
        <v>44196</v>
      </c>
      <c r="O7" s="399" t="s">
        <v>9</v>
      </c>
      <c r="P7" s="338" t="s">
        <v>546</v>
      </c>
    </row>
    <row r="8" spans="1:19" ht="13.8" thickTop="1" x14ac:dyDescent="0.25">
      <c r="A8" s="902"/>
      <c r="B8" s="720"/>
      <c r="C8" s="403"/>
      <c r="D8" s="410"/>
      <c r="E8" s="401"/>
      <c r="F8" s="439"/>
      <c r="G8" s="401"/>
      <c r="H8" s="401"/>
      <c r="I8" s="402"/>
      <c r="J8" s="402"/>
      <c r="K8" s="402"/>
      <c r="L8" s="402"/>
      <c r="M8" s="402"/>
      <c r="N8" s="403"/>
      <c r="O8" s="404"/>
      <c r="P8" s="404"/>
    </row>
    <row r="9" spans="1:19" x14ac:dyDescent="0.25">
      <c r="A9" s="903">
        <v>5171</v>
      </c>
      <c r="B9" s="236" t="s">
        <v>237</v>
      </c>
      <c r="C9" s="405">
        <v>64911</v>
      </c>
      <c r="D9" s="144">
        <v>74513</v>
      </c>
      <c r="E9" s="405">
        <v>74959</v>
      </c>
      <c r="F9" s="144">
        <v>88198</v>
      </c>
      <c r="G9" s="405">
        <v>88560</v>
      </c>
      <c r="H9" s="405">
        <v>77869</v>
      </c>
      <c r="I9" s="405">
        <v>80202</v>
      </c>
      <c r="J9" s="405">
        <v>93202</v>
      </c>
      <c r="K9" s="331">
        <v>85342</v>
      </c>
      <c r="L9" s="405">
        <v>85342</v>
      </c>
      <c r="M9" s="331">
        <v>92209</v>
      </c>
      <c r="N9" s="405">
        <v>92209</v>
      </c>
      <c r="O9" s="331">
        <v>136308</v>
      </c>
      <c r="P9" s="331"/>
    </row>
    <row r="10" spans="1:19" x14ac:dyDescent="0.25">
      <c r="A10" s="903">
        <v>5172</v>
      </c>
      <c r="B10" s="236" t="s">
        <v>238</v>
      </c>
      <c r="C10" s="405">
        <v>5852.95</v>
      </c>
      <c r="D10" s="126">
        <v>4536.74</v>
      </c>
      <c r="E10" s="406">
        <v>5986.32</v>
      </c>
      <c r="F10" s="126">
        <v>8374.77</v>
      </c>
      <c r="G10" s="406">
        <v>8425.42</v>
      </c>
      <c r="H10" s="406">
        <v>9162</v>
      </c>
      <c r="I10" s="406">
        <v>9590</v>
      </c>
      <c r="J10" s="406">
        <v>9613.74</v>
      </c>
      <c r="K10" s="332">
        <v>17000</v>
      </c>
      <c r="L10" s="406">
        <v>10091</v>
      </c>
      <c r="M10" s="332">
        <v>12000</v>
      </c>
      <c r="N10" s="405">
        <v>6993.68</v>
      </c>
      <c r="O10" s="332">
        <v>12000</v>
      </c>
      <c r="P10" s="332"/>
    </row>
    <row r="11" spans="1:19" x14ac:dyDescent="0.25">
      <c r="A11" s="903">
        <v>5173</v>
      </c>
      <c r="B11" s="236" t="s">
        <v>239</v>
      </c>
      <c r="C11" s="405"/>
      <c r="D11" s="126">
        <v>322</v>
      </c>
      <c r="E11" s="406"/>
      <c r="F11" s="126">
        <v>500.42</v>
      </c>
      <c r="G11" s="406"/>
      <c r="H11" s="406"/>
      <c r="I11" s="406">
        <v>0</v>
      </c>
      <c r="J11" s="406"/>
      <c r="K11" s="332">
        <v>28000</v>
      </c>
      <c r="L11" s="406">
        <v>7566</v>
      </c>
      <c r="M11" s="332">
        <v>28000</v>
      </c>
      <c r="N11" s="405">
        <v>1554.34</v>
      </c>
      <c r="O11" s="332">
        <v>28000</v>
      </c>
      <c r="P11" s="332"/>
    </row>
    <row r="12" spans="1:19" x14ac:dyDescent="0.25">
      <c r="A12" s="903">
        <v>5174</v>
      </c>
      <c r="B12" s="236" t="s">
        <v>240</v>
      </c>
      <c r="C12" s="405">
        <v>86130.559999999998</v>
      </c>
      <c r="D12" s="144">
        <v>75924.070000000007</v>
      </c>
      <c r="E12" s="405">
        <v>93076.36</v>
      </c>
      <c r="F12" s="144">
        <v>90104.19</v>
      </c>
      <c r="G12" s="405">
        <v>117708.89</v>
      </c>
      <c r="H12" s="405">
        <v>130930.22</v>
      </c>
      <c r="I12" s="405">
        <v>139043.88</v>
      </c>
      <c r="J12" s="405">
        <v>116261</v>
      </c>
      <c r="K12" s="331">
        <v>153912</v>
      </c>
      <c r="L12" s="405">
        <v>112949.92</v>
      </c>
      <c r="M12" s="331">
        <v>130000</v>
      </c>
      <c r="N12" s="405">
        <v>62360.23</v>
      </c>
      <c r="O12" s="331">
        <v>174000</v>
      </c>
      <c r="P12" s="331"/>
      <c r="Q12" s="240"/>
    </row>
    <row r="13" spans="1:19" x14ac:dyDescent="0.25">
      <c r="A13" s="903">
        <v>5175</v>
      </c>
      <c r="B13" s="236" t="s">
        <v>241</v>
      </c>
      <c r="C13" s="405">
        <v>759.92</v>
      </c>
      <c r="D13" s="144">
        <v>630.28</v>
      </c>
      <c r="E13" s="405">
        <v>931.52</v>
      </c>
      <c r="F13" s="144">
        <v>852</v>
      </c>
      <c r="G13" s="405">
        <v>602.08000000000004</v>
      </c>
      <c r="H13" s="405">
        <v>727.04</v>
      </c>
      <c r="I13" s="405">
        <v>431.68</v>
      </c>
      <c r="J13" s="405">
        <v>556.64</v>
      </c>
      <c r="K13" s="331">
        <v>1000</v>
      </c>
      <c r="L13" s="405">
        <v>556.64</v>
      </c>
      <c r="M13" s="331">
        <v>1000</v>
      </c>
      <c r="N13" s="405">
        <v>318.08</v>
      </c>
      <c r="O13" s="331">
        <v>1000</v>
      </c>
      <c r="P13" s="331"/>
    </row>
    <row r="14" spans="1:19" ht="13.8" thickBot="1" x14ac:dyDescent="0.3">
      <c r="A14" s="903">
        <v>5176</v>
      </c>
      <c r="B14" s="236" t="s">
        <v>242</v>
      </c>
      <c r="C14" s="407">
        <v>4774.32</v>
      </c>
      <c r="D14" s="318">
        <v>4967.07</v>
      </c>
      <c r="E14" s="407">
        <v>6446.86</v>
      </c>
      <c r="F14" s="318">
        <v>6143.82</v>
      </c>
      <c r="G14" s="407">
        <v>5816.1</v>
      </c>
      <c r="H14" s="407">
        <v>5692.45</v>
      </c>
      <c r="I14" s="407">
        <v>5390.92</v>
      </c>
      <c r="J14" s="407">
        <v>5821.74</v>
      </c>
      <c r="K14" s="333">
        <v>6700</v>
      </c>
      <c r="L14" s="407">
        <v>5866.79</v>
      </c>
      <c r="M14" s="333">
        <f>ROUND((+'661 440 WPCF'!M14*0.0145),0)</f>
        <v>7124</v>
      </c>
      <c r="N14" s="407">
        <v>3179.62</v>
      </c>
      <c r="O14" s="333">
        <f>ROUND((+'661 440 WPCF'!O14*0.0145),0)</f>
        <v>7844</v>
      </c>
      <c r="P14" s="333"/>
    </row>
    <row r="15" spans="1:19" x14ac:dyDescent="0.25">
      <c r="A15" s="903"/>
      <c r="B15" s="721" t="s">
        <v>130</v>
      </c>
      <c r="C15" s="406">
        <f t="shared" ref="C15:N15" si="0">SUM(C9:C14)</f>
        <v>162428.75000000003</v>
      </c>
      <c r="D15" s="126">
        <f t="shared" si="0"/>
        <v>160893.16</v>
      </c>
      <c r="E15" s="406">
        <f t="shared" si="0"/>
        <v>181400.05999999997</v>
      </c>
      <c r="F15" s="126">
        <f>SUM(F9:F14)</f>
        <v>194173.2</v>
      </c>
      <c r="G15" s="406">
        <f>SUM(G9:G14)</f>
        <v>221112.49</v>
      </c>
      <c r="H15" s="406">
        <f>SUM(H9:H14)</f>
        <v>224380.71000000002</v>
      </c>
      <c r="I15" s="406">
        <f t="shared" si="0"/>
        <v>234658.48</v>
      </c>
      <c r="J15" s="406">
        <f t="shared" si="0"/>
        <v>225455.12</v>
      </c>
      <c r="K15" s="332">
        <f t="shared" ref="K15:M15" si="1">SUM(K9:K14)</f>
        <v>291954</v>
      </c>
      <c r="L15" s="406">
        <f t="shared" si="1"/>
        <v>222372.35</v>
      </c>
      <c r="M15" s="332">
        <f t="shared" si="1"/>
        <v>270333</v>
      </c>
      <c r="N15" s="406">
        <f t="shared" si="0"/>
        <v>166614.94999999998</v>
      </c>
      <c r="O15" s="332">
        <f>SUM(O9:O14)</f>
        <v>359152</v>
      </c>
      <c r="P15" s="332">
        <f>SUM(P9:P14)</f>
        <v>0</v>
      </c>
    </row>
    <row r="16" spans="1:19" x14ac:dyDescent="0.25">
      <c r="A16" s="903"/>
      <c r="B16" s="236"/>
      <c r="C16" s="405"/>
      <c r="D16" s="144"/>
      <c r="E16" s="405"/>
      <c r="F16" s="144"/>
      <c r="G16" s="405"/>
      <c r="H16" s="405"/>
      <c r="I16" s="405"/>
      <c r="J16" s="405"/>
      <c r="K16" s="331"/>
      <c r="L16" s="405"/>
      <c r="M16" s="331"/>
      <c r="N16" s="405"/>
      <c r="O16" s="331"/>
      <c r="P16" s="331"/>
    </row>
    <row r="17" spans="1:19" x14ac:dyDescent="0.25">
      <c r="A17" s="903"/>
      <c r="B17" s="236"/>
      <c r="C17" s="405"/>
      <c r="D17" s="144"/>
      <c r="E17" s="405"/>
      <c r="F17" s="144"/>
      <c r="G17" s="405"/>
      <c r="H17" s="405"/>
      <c r="I17" s="405"/>
      <c r="J17" s="405"/>
      <c r="K17" s="331"/>
      <c r="L17" s="405"/>
      <c r="M17" s="331"/>
      <c r="N17" s="405"/>
      <c r="O17" s="331"/>
      <c r="P17" s="331"/>
    </row>
    <row r="18" spans="1:19" ht="13.8" thickBot="1" x14ac:dyDescent="0.3">
      <c r="A18" s="904"/>
      <c r="B18" s="722" t="s">
        <v>469</v>
      </c>
      <c r="C18" s="408">
        <f t="shared" ref="C18:O18" si="2">+C15</f>
        <v>162428.75000000003</v>
      </c>
      <c r="D18" s="321">
        <f t="shared" si="2"/>
        <v>160893.16</v>
      </c>
      <c r="E18" s="408">
        <f>+E15</f>
        <v>181400.05999999997</v>
      </c>
      <c r="F18" s="321">
        <f>+F15</f>
        <v>194173.2</v>
      </c>
      <c r="G18" s="408">
        <f>+G15</f>
        <v>221112.49</v>
      </c>
      <c r="H18" s="408">
        <f>+H15</f>
        <v>224380.71000000002</v>
      </c>
      <c r="I18" s="408">
        <f t="shared" si="2"/>
        <v>234658.48</v>
      </c>
      <c r="J18" s="408">
        <f t="shared" si="2"/>
        <v>225455.12</v>
      </c>
      <c r="K18" s="409">
        <f t="shared" ref="K18:M18" si="3">+K15</f>
        <v>291954</v>
      </c>
      <c r="L18" s="408">
        <f t="shared" si="3"/>
        <v>222372.35</v>
      </c>
      <c r="M18" s="409">
        <f t="shared" si="3"/>
        <v>270333</v>
      </c>
      <c r="N18" s="408">
        <f t="shared" si="2"/>
        <v>166614.94999999998</v>
      </c>
      <c r="O18" s="409">
        <f t="shared" si="2"/>
        <v>359152</v>
      </c>
      <c r="P18" s="409">
        <f>+O18</f>
        <v>359152</v>
      </c>
    </row>
    <row r="19" spans="1:19" ht="13.8" thickTop="1" x14ac:dyDescent="0.25">
      <c r="A19" s="905"/>
      <c r="B19" s="83"/>
      <c r="C19" s="24"/>
      <c r="D19" s="24"/>
      <c r="E19" s="24"/>
      <c r="F19" s="24"/>
      <c r="G19" s="24"/>
      <c r="H19" s="24"/>
      <c r="I19" s="24"/>
      <c r="J19" s="24"/>
      <c r="K19" s="24"/>
      <c r="L19" s="24"/>
      <c r="M19" s="24"/>
      <c r="N19" s="25"/>
      <c r="O19" s="24"/>
      <c r="Q19" s="25"/>
      <c r="R19" s="25"/>
      <c r="S19" s="25"/>
    </row>
    <row r="20" spans="1:19" s="94" customFormat="1" x14ac:dyDescent="0.25">
      <c r="A20" s="57">
        <v>44522</v>
      </c>
      <c r="B20" s="4" t="s">
        <v>1658</v>
      </c>
      <c r="C20" s="24"/>
      <c r="D20" s="24"/>
      <c r="E20" s="24"/>
      <c r="F20" s="24"/>
      <c r="G20" s="24"/>
      <c r="H20" s="24"/>
      <c r="I20" s="24"/>
      <c r="J20" s="24"/>
      <c r="K20" s="24"/>
      <c r="L20" s="24"/>
      <c r="M20" s="24"/>
      <c r="N20" s="25"/>
      <c r="O20" s="24"/>
      <c r="P20" s="24"/>
      <c r="Q20" s="25"/>
      <c r="R20" s="25"/>
      <c r="S20" s="25"/>
    </row>
    <row r="21" spans="1:19" s="94" customFormat="1" x14ac:dyDescent="0.25">
      <c r="A21" s="57">
        <v>44587</v>
      </c>
      <c r="B21" s="4" t="s">
        <v>1870</v>
      </c>
      <c r="C21" s="24"/>
      <c r="D21" s="24"/>
      <c r="E21" s="24"/>
      <c r="F21" s="24"/>
      <c r="G21" s="24"/>
      <c r="H21" s="24"/>
      <c r="I21" s="24"/>
      <c r="J21" s="24"/>
      <c r="K21" s="24"/>
      <c r="L21" s="24"/>
      <c r="M21" s="24"/>
      <c r="N21" s="25"/>
      <c r="O21" s="24"/>
      <c r="P21" s="24"/>
      <c r="Q21" s="25"/>
      <c r="R21" s="25"/>
      <c r="S21" s="25"/>
    </row>
    <row r="22" spans="1:19" s="94" customFormat="1" x14ac:dyDescent="0.25">
      <c r="A22" s="57"/>
      <c r="B22" s="4"/>
      <c r="C22" s="24"/>
      <c r="D22" s="24"/>
      <c r="E22" s="24"/>
      <c r="F22" s="24"/>
      <c r="G22" s="24"/>
      <c r="H22" s="24"/>
      <c r="I22" s="24"/>
      <c r="J22" s="24"/>
      <c r="K22" s="24"/>
      <c r="L22" s="24"/>
      <c r="M22" s="24"/>
      <c r="N22" s="25"/>
      <c r="O22" s="24"/>
      <c r="P22" s="24"/>
      <c r="Q22" s="25"/>
      <c r="R22" s="25"/>
      <c r="S22" s="25"/>
    </row>
    <row r="23" spans="1:19" s="94" customFormat="1" x14ac:dyDescent="0.25">
      <c r="A23" s="57"/>
      <c r="B23" s="4"/>
      <c r="C23" s="24"/>
      <c r="D23" s="24"/>
      <c r="E23" s="24"/>
      <c r="F23" s="24"/>
      <c r="G23" s="24"/>
      <c r="H23" s="24"/>
      <c r="I23" s="24"/>
      <c r="J23" s="24"/>
      <c r="K23" s="24"/>
      <c r="L23" s="24"/>
      <c r="M23" s="24"/>
      <c r="N23" s="25"/>
      <c r="O23" s="24"/>
      <c r="P23" s="24"/>
      <c r="Q23" s="25"/>
      <c r="R23" s="25"/>
      <c r="S23" s="25"/>
    </row>
    <row r="24" spans="1:19" ht="14.4" thickBot="1" x14ac:dyDescent="0.3">
      <c r="A24" s="889"/>
      <c r="C24" s="24"/>
      <c r="D24" s="24"/>
      <c r="E24" s="24"/>
      <c r="F24" s="24"/>
      <c r="G24" s="24"/>
      <c r="H24" s="24"/>
      <c r="I24" s="24"/>
      <c r="J24" s="24"/>
      <c r="K24" s="24"/>
      <c r="L24" s="24"/>
      <c r="M24" s="24"/>
      <c r="N24" s="25"/>
      <c r="O24" s="24"/>
      <c r="P24" s="24"/>
      <c r="Q24" s="25"/>
      <c r="R24" s="25"/>
      <c r="S24" s="25"/>
    </row>
    <row r="25" spans="1:19" ht="13.8" thickTop="1" x14ac:dyDescent="0.25">
      <c r="A25" s="893"/>
      <c r="B25" s="452"/>
      <c r="C25" s="453" t="s">
        <v>127</v>
      </c>
      <c r="D25" s="454" t="s">
        <v>127</v>
      </c>
      <c r="E25" s="453" t="s">
        <v>127</v>
      </c>
      <c r="K25" s="455" t="s">
        <v>547</v>
      </c>
      <c r="L25" s="456" t="s">
        <v>9</v>
      </c>
      <c r="M25" s="457" t="s">
        <v>1073</v>
      </c>
      <c r="N25" s="456" t="s">
        <v>686</v>
      </c>
      <c r="O25" s="458"/>
      <c r="P25" s="457"/>
      <c r="Q25" s="27"/>
      <c r="R25" s="27"/>
      <c r="S25" s="27"/>
    </row>
    <row r="26" spans="1:19" ht="13.8" thickBot="1" x14ac:dyDescent="0.3">
      <c r="A26" s="894"/>
      <c r="B26" s="536"/>
      <c r="C26" s="537" t="s">
        <v>347</v>
      </c>
      <c r="D26" s="537" t="s">
        <v>722</v>
      </c>
      <c r="E26" s="520" t="s">
        <v>737</v>
      </c>
      <c r="K26" s="462" t="s">
        <v>909</v>
      </c>
      <c r="L26" s="462" t="s">
        <v>910</v>
      </c>
      <c r="M26" s="520" t="s">
        <v>1075</v>
      </c>
      <c r="N26" s="522" t="s">
        <v>1075</v>
      </c>
      <c r="O26" s="464" t="s">
        <v>1074</v>
      </c>
      <c r="P26" s="462"/>
      <c r="Q26" s="25"/>
      <c r="R26" s="25"/>
      <c r="S26" s="25"/>
    </row>
    <row r="27" spans="1:19" ht="13.8" thickTop="1" x14ac:dyDescent="0.25">
      <c r="A27" s="906"/>
      <c r="B27" s="538"/>
      <c r="C27" s="526"/>
      <c r="D27" s="525"/>
      <c r="E27" s="525"/>
      <c r="K27" s="525"/>
      <c r="L27" s="525"/>
      <c r="M27" s="539"/>
      <c r="N27" s="526"/>
      <c r="O27" s="533"/>
      <c r="P27" s="534"/>
      <c r="Q27" s="25"/>
      <c r="R27" s="25"/>
      <c r="S27" s="25"/>
    </row>
    <row r="28" spans="1:19" x14ac:dyDescent="0.25">
      <c r="A28" s="907">
        <v>5171</v>
      </c>
      <c r="B28" s="501" t="s">
        <v>237</v>
      </c>
      <c r="C28" s="476">
        <v>64911</v>
      </c>
      <c r="D28" s="476">
        <v>74513</v>
      </c>
      <c r="E28" s="476">
        <v>74959</v>
      </c>
      <c r="K28" s="475">
        <f t="shared" ref="K28:K33" si="4">+M9</f>
        <v>92209</v>
      </c>
      <c r="L28" s="497">
        <f t="shared" ref="L28:L33" si="5">+O9</f>
        <v>136308</v>
      </c>
      <c r="M28" s="475">
        <f t="shared" ref="M28:M33" si="6">+L28-K28</f>
        <v>44099</v>
      </c>
      <c r="N28" s="477">
        <f t="shared" ref="N28:N33" si="7">IF(K28+L28&lt;&gt;0,IF(K28&lt;&gt;0,IF(M28&lt;&gt;0,ROUND((+M28/K28),4),""),1),"")</f>
        <v>0.4783</v>
      </c>
      <c r="O28" s="470"/>
      <c r="P28" s="471"/>
      <c r="Q28" s="25"/>
      <c r="R28" s="25"/>
      <c r="S28" s="25"/>
    </row>
    <row r="29" spans="1:19" x14ac:dyDescent="0.25">
      <c r="A29" s="907">
        <v>5172</v>
      </c>
      <c r="B29" s="501" t="s">
        <v>238</v>
      </c>
      <c r="C29" s="476">
        <v>5852.95</v>
      </c>
      <c r="D29" s="476">
        <v>4536.74</v>
      </c>
      <c r="E29" s="476">
        <v>5986.32</v>
      </c>
      <c r="K29" s="475">
        <f t="shared" si="4"/>
        <v>12000</v>
      </c>
      <c r="L29" s="497">
        <f t="shared" si="5"/>
        <v>12000</v>
      </c>
      <c r="M29" s="475">
        <f t="shared" si="6"/>
        <v>0</v>
      </c>
      <c r="N29" s="477" t="str">
        <f t="shared" si="7"/>
        <v/>
      </c>
      <c r="O29" s="483"/>
      <c r="P29" s="500"/>
      <c r="Q29" s="25"/>
      <c r="R29" s="25"/>
      <c r="S29" s="25"/>
    </row>
    <row r="30" spans="1:19" x14ac:dyDescent="0.25">
      <c r="A30" s="907">
        <v>5173</v>
      </c>
      <c r="B30" s="501" t="s">
        <v>239</v>
      </c>
      <c r="C30" s="476"/>
      <c r="D30" s="476">
        <v>322</v>
      </c>
      <c r="E30" s="476"/>
      <c r="K30" s="475">
        <f t="shared" si="4"/>
        <v>28000</v>
      </c>
      <c r="L30" s="497">
        <f t="shared" si="5"/>
        <v>28000</v>
      </c>
      <c r="M30" s="475">
        <f t="shared" si="6"/>
        <v>0</v>
      </c>
      <c r="N30" s="477" t="str">
        <f t="shared" si="7"/>
        <v/>
      </c>
      <c r="O30" s="483"/>
      <c r="P30" s="500"/>
      <c r="Q30" s="27"/>
      <c r="R30" s="27"/>
      <c r="S30" s="27"/>
    </row>
    <row r="31" spans="1:19" x14ac:dyDescent="0.25">
      <c r="A31" s="907">
        <v>5174</v>
      </c>
      <c r="B31" s="501" t="s">
        <v>240</v>
      </c>
      <c r="C31" s="476">
        <v>86130.559999999998</v>
      </c>
      <c r="D31" s="476">
        <v>75924.070000000007</v>
      </c>
      <c r="E31" s="476">
        <v>93076.36</v>
      </c>
      <c r="K31" s="475">
        <f t="shared" si="4"/>
        <v>130000</v>
      </c>
      <c r="L31" s="497">
        <f t="shared" si="5"/>
        <v>174000</v>
      </c>
      <c r="M31" s="475">
        <f t="shared" si="6"/>
        <v>44000</v>
      </c>
      <c r="N31" s="477">
        <f t="shared" si="7"/>
        <v>0.33850000000000002</v>
      </c>
      <c r="O31" s="470"/>
      <c r="P31" s="471"/>
      <c r="Q31" s="27"/>
      <c r="R31" s="27"/>
      <c r="S31" s="27"/>
    </row>
    <row r="32" spans="1:19" x14ac:dyDescent="0.25">
      <c r="A32" s="907">
        <v>5175</v>
      </c>
      <c r="B32" s="501" t="s">
        <v>241</v>
      </c>
      <c r="C32" s="476">
        <v>759.92</v>
      </c>
      <c r="D32" s="476">
        <v>630.28</v>
      </c>
      <c r="E32" s="476">
        <v>931.52</v>
      </c>
      <c r="K32" s="475">
        <f t="shared" si="4"/>
        <v>1000</v>
      </c>
      <c r="L32" s="497">
        <f t="shared" si="5"/>
        <v>1000</v>
      </c>
      <c r="M32" s="475">
        <f t="shared" si="6"/>
        <v>0</v>
      </c>
      <c r="N32" s="477" t="str">
        <f t="shared" si="7"/>
        <v/>
      </c>
      <c r="O32" s="470"/>
      <c r="P32" s="471"/>
      <c r="Q32" s="27"/>
      <c r="R32" s="27"/>
      <c r="S32" s="27"/>
    </row>
    <row r="33" spans="1:19" x14ac:dyDescent="0.25">
      <c r="A33" s="907">
        <v>5176</v>
      </c>
      <c r="B33" s="501" t="s">
        <v>242</v>
      </c>
      <c r="C33" s="476">
        <v>4774.32</v>
      </c>
      <c r="D33" s="476">
        <v>4967.07</v>
      </c>
      <c r="E33" s="476">
        <v>6446.86</v>
      </c>
      <c r="K33" s="475">
        <f t="shared" si="4"/>
        <v>7124</v>
      </c>
      <c r="L33" s="497">
        <f t="shared" si="5"/>
        <v>7844</v>
      </c>
      <c r="M33" s="475">
        <f t="shared" si="6"/>
        <v>720</v>
      </c>
      <c r="N33" s="477">
        <f t="shared" si="7"/>
        <v>0.1011</v>
      </c>
      <c r="O33" s="470"/>
      <c r="P33" s="471"/>
      <c r="Q33" s="27"/>
      <c r="R33" s="27"/>
      <c r="S33" s="27"/>
    </row>
    <row r="34" spans="1:19" x14ac:dyDescent="0.25">
      <c r="A34" s="907"/>
      <c r="B34" s="501"/>
      <c r="C34" s="476"/>
      <c r="D34" s="476"/>
      <c r="E34" s="476"/>
      <c r="K34" s="475"/>
      <c r="L34" s="497"/>
      <c r="M34" s="475"/>
      <c r="N34" s="476"/>
      <c r="O34" s="470"/>
      <c r="P34" s="471"/>
      <c r="Q34" s="27"/>
      <c r="R34" s="27"/>
      <c r="S34" s="27"/>
    </row>
    <row r="35" spans="1:19" x14ac:dyDescent="0.25">
      <c r="N35" s="27"/>
      <c r="Q35" s="27"/>
      <c r="R35" s="27"/>
      <c r="S35" s="27"/>
    </row>
    <row r="36" spans="1:19" x14ac:dyDescent="0.25">
      <c r="B36" s="4" t="s">
        <v>1363</v>
      </c>
      <c r="K36" s="742">
        <f>SUM(K28:K35)</f>
        <v>270333</v>
      </c>
      <c r="L36" s="742">
        <f>SUM(L28:L35)</f>
        <v>359152</v>
      </c>
      <c r="M36" s="202">
        <f>+L36-K36</f>
        <v>88819</v>
      </c>
      <c r="N36" s="743">
        <f>IF(K36+L36&lt;&gt;0,IF(K36&lt;&gt;0,IF(M36&lt;&gt;0,ROUND((+M36/K36),4),""),1),"")</f>
        <v>0.3286</v>
      </c>
      <c r="Q36" s="27"/>
      <c r="R36" s="27"/>
      <c r="S36" s="27"/>
    </row>
    <row r="37" spans="1:19" x14ac:dyDescent="0.25">
      <c r="N37" s="27"/>
      <c r="Q37" s="27"/>
      <c r="R37" s="27"/>
      <c r="S37" s="27"/>
    </row>
    <row r="38" spans="1:19" x14ac:dyDescent="0.25">
      <c r="N38" s="27"/>
      <c r="Q38" s="27"/>
      <c r="R38" s="27"/>
      <c r="S38" s="27"/>
    </row>
    <row r="39" spans="1:19" x14ac:dyDescent="0.25">
      <c r="N39" s="27"/>
      <c r="Q39" s="27"/>
      <c r="R39" s="27"/>
      <c r="S39" s="27"/>
    </row>
    <row r="40" spans="1:19" x14ac:dyDescent="0.25">
      <c r="N40" s="27"/>
      <c r="Q40" s="27"/>
      <c r="R40" s="27"/>
      <c r="S40" s="27"/>
    </row>
    <row r="41" spans="1:19" x14ac:dyDescent="0.25">
      <c r="N41" s="27"/>
      <c r="Q41" s="27"/>
      <c r="R41" s="27"/>
      <c r="S41" s="27"/>
    </row>
    <row r="42" spans="1:19" x14ac:dyDescent="0.25">
      <c r="N42" s="27"/>
      <c r="Q42" s="27"/>
      <c r="R42" s="27"/>
      <c r="S42" s="27"/>
    </row>
    <row r="43" spans="1:19" x14ac:dyDescent="0.25">
      <c r="N43" s="27"/>
      <c r="Q43" s="27"/>
      <c r="R43" s="27"/>
      <c r="S43" s="27"/>
    </row>
    <row r="44" spans="1:19" x14ac:dyDescent="0.25">
      <c r="N44" s="27"/>
      <c r="Q44" s="27"/>
      <c r="R44" s="27"/>
      <c r="S44" s="27"/>
    </row>
    <row r="45" spans="1:19" x14ac:dyDescent="0.25">
      <c r="N45" s="27"/>
      <c r="Q45" s="27"/>
      <c r="R45" s="27"/>
      <c r="S45" s="27"/>
    </row>
    <row r="46" spans="1:19" x14ac:dyDescent="0.25">
      <c r="N46" s="27"/>
      <c r="Q46" s="27"/>
      <c r="R46" s="27"/>
      <c r="S46" s="27"/>
    </row>
    <row r="47" spans="1:19" x14ac:dyDescent="0.25">
      <c r="N47" s="27"/>
      <c r="Q47" s="27"/>
      <c r="R47" s="27"/>
      <c r="S47" s="27"/>
    </row>
    <row r="48" spans="1:19" x14ac:dyDescent="0.25">
      <c r="N48" s="27"/>
      <c r="Q48" s="27"/>
      <c r="R48" s="27"/>
      <c r="S48" s="27"/>
    </row>
    <row r="49" spans="14:19" x14ac:dyDescent="0.25">
      <c r="N49" s="27"/>
      <c r="Q49" s="27"/>
      <c r="R49" s="27"/>
      <c r="S49" s="27"/>
    </row>
    <row r="50" spans="14:19" x14ac:dyDescent="0.25">
      <c r="N50" s="27"/>
      <c r="Q50" s="27"/>
      <c r="R50" s="27"/>
      <c r="S50" s="27"/>
    </row>
    <row r="51" spans="14:19" x14ac:dyDescent="0.25">
      <c r="N51" s="27"/>
      <c r="Q51" s="27"/>
      <c r="R51" s="27"/>
      <c r="S51" s="27"/>
    </row>
    <row r="52" spans="14:19" x14ac:dyDescent="0.25">
      <c r="N52" s="27"/>
      <c r="Q52" s="27"/>
      <c r="R52" s="27"/>
      <c r="S52" s="27"/>
    </row>
    <row r="53" spans="14:19" x14ac:dyDescent="0.25">
      <c r="N53" s="27"/>
      <c r="Q53" s="27"/>
      <c r="R53" s="27"/>
      <c r="S53" s="27"/>
    </row>
    <row r="54" spans="14:19" x14ac:dyDescent="0.25">
      <c r="N54" s="27"/>
      <c r="Q54" s="27"/>
      <c r="R54" s="27"/>
      <c r="S54" s="27"/>
    </row>
    <row r="55" spans="14:19" x14ac:dyDescent="0.25">
      <c r="N55" s="27"/>
      <c r="Q55" s="27"/>
      <c r="R55" s="27"/>
      <c r="S55" s="27"/>
    </row>
    <row r="56" spans="14:19" x14ac:dyDescent="0.25">
      <c r="N56" s="27"/>
      <c r="Q56" s="27"/>
      <c r="R56" s="27"/>
      <c r="S56" s="27"/>
    </row>
    <row r="57" spans="14:19" x14ac:dyDescent="0.25">
      <c r="N57" s="27"/>
      <c r="Q57" s="27"/>
      <c r="R57" s="27"/>
      <c r="S57" s="27"/>
    </row>
    <row r="58" spans="14:19" x14ac:dyDescent="0.25">
      <c r="N58" s="27"/>
      <c r="Q58" s="27"/>
      <c r="R58" s="27"/>
      <c r="S58" s="27"/>
    </row>
    <row r="59" spans="14:19" x14ac:dyDescent="0.25">
      <c r="N59" s="27"/>
      <c r="Q59" s="27"/>
      <c r="R59" s="27"/>
      <c r="S59" s="27"/>
    </row>
    <row r="60" spans="14:19" x14ac:dyDescent="0.25">
      <c r="N60" s="27"/>
      <c r="Q60" s="27"/>
      <c r="R60" s="27"/>
      <c r="S60" s="27"/>
    </row>
    <row r="61" spans="14:19" x14ac:dyDescent="0.25">
      <c r="N61" s="27"/>
      <c r="Q61" s="27"/>
      <c r="R61" s="27"/>
      <c r="S61" s="27"/>
    </row>
    <row r="62" spans="14:19" x14ac:dyDescent="0.25">
      <c r="N62" s="27"/>
      <c r="Q62" s="27"/>
      <c r="R62" s="27"/>
      <c r="S62" s="27"/>
    </row>
    <row r="63" spans="14:19" x14ac:dyDescent="0.25">
      <c r="N63" s="27"/>
      <c r="Q63" s="27"/>
      <c r="R63" s="27"/>
      <c r="S63" s="27"/>
    </row>
    <row r="64" spans="14:19" x14ac:dyDescent="0.25">
      <c r="N64" s="27"/>
      <c r="Q64" s="27"/>
      <c r="R64" s="27"/>
      <c r="S64" s="27"/>
    </row>
    <row r="65" spans="14:19" x14ac:dyDescent="0.25">
      <c r="N65" s="27"/>
      <c r="Q65" s="27"/>
      <c r="R65" s="27"/>
      <c r="S65" s="27"/>
    </row>
    <row r="66" spans="14:19" x14ac:dyDescent="0.25">
      <c r="N66" s="27"/>
      <c r="Q66" s="27"/>
      <c r="R66" s="27"/>
      <c r="S66" s="27"/>
    </row>
    <row r="67" spans="14:19" x14ac:dyDescent="0.25">
      <c r="N67" s="27"/>
      <c r="Q67" s="27"/>
      <c r="R67" s="27"/>
      <c r="S67" s="27"/>
    </row>
    <row r="68" spans="14:19" x14ac:dyDescent="0.25">
      <c r="N68" s="27"/>
      <c r="Q68" s="27"/>
      <c r="R68" s="27"/>
      <c r="S68" s="27"/>
    </row>
    <row r="69" spans="14:19" x14ac:dyDescent="0.25">
      <c r="N69" s="27"/>
      <c r="Q69" s="27"/>
      <c r="R69" s="27"/>
      <c r="S69" s="27"/>
    </row>
    <row r="70" spans="14:19" x14ac:dyDescent="0.25">
      <c r="N70" s="27"/>
      <c r="Q70" s="27"/>
      <c r="R70" s="27"/>
      <c r="S70" s="27"/>
    </row>
    <row r="71" spans="14:19" x14ac:dyDescent="0.25">
      <c r="N71" s="27"/>
      <c r="Q71" s="27"/>
      <c r="R71" s="27"/>
      <c r="S71" s="27"/>
    </row>
    <row r="72" spans="14:19" x14ac:dyDescent="0.25">
      <c r="N72" s="27"/>
      <c r="Q72" s="27"/>
      <c r="R72" s="27"/>
      <c r="S72" s="27"/>
    </row>
    <row r="73" spans="14:19" x14ac:dyDescent="0.25">
      <c r="N73" s="27"/>
      <c r="Q73" s="27"/>
      <c r="R73" s="27"/>
      <c r="S73" s="27"/>
    </row>
    <row r="74" spans="14:19" x14ac:dyDescent="0.25">
      <c r="N74" s="27"/>
      <c r="Q74" s="27"/>
      <c r="R74" s="27"/>
      <c r="S74" s="27"/>
    </row>
    <row r="75" spans="14:19" x14ac:dyDescent="0.25">
      <c r="N75" s="27"/>
      <c r="Q75" s="27"/>
      <c r="R75" s="27"/>
      <c r="S75" s="27"/>
    </row>
    <row r="76" spans="14:19" x14ac:dyDescent="0.25">
      <c r="N76" s="27"/>
      <c r="Q76" s="27"/>
      <c r="R76" s="27"/>
      <c r="S76" s="27"/>
    </row>
    <row r="77" spans="14:19" x14ac:dyDescent="0.25">
      <c r="N77" s="27"/>
      <c r="Q77" s="27"/>
      <c r="R77" s="27"/>
      <c r="S77" s="27"/>
    </row>
    <row r="78" spans="14:19" x14ac:dyDescent="0.25">
      <c r="N78" s="27"/>
      <c r="Q78" s="27"/>
      <c r="R78" s="27"/>
      <c r="S78" s="27"/>
    </row>
    <row r="79" spans="14:19" x14ac:dyDescent="0.25">
      <c r="N79" s="27"/>
      <c r="Q79" s="27"/>
      <c r="R79" s="27"/>
      <c r="S79" s="27"/>
    </row>
    <row r="80" spans="14:19" x14ac:dyDescent="0.25">
      <c r="N80" s="27"/>
      <c r="Q80" s="27"/>
      <c r="R80" s="27"/>
      <c r="S80" s="27"/>
    </row>
    <row r="81" spans="14:19" x14ac:dyDescent="0.25">
      <c r="N81" s="27"/>
      <c r="Q81" s="27"/>
      <c r="R81" s="27"/>
      <c r="S81" s="27"/>
    </row>
    <row r="82" spans="14:19" x14ac:dyDescent="0.25">
      <c r="N82" s="27"/>
      <c r="Q82" s="27"/>
      <c r="R82" s="27"/>
      <c r="S82" s="27"/>
    </row>
    <row r="83" spans="14:19" x14ac:dyDescent="0.25">
      <c r="Q83" s="4"/>
      <c r="R83" s="4"/>
      <c r="S83" s="4"/>
    </row>
    <row r="84" spans="14:19" x14ac:dyDescent="0.25">
      <c r="Q84" s="4"/>
      <c r="R84" s="4"/>
      <c r="S84" s="4"/>
    </row>
    <row r="85" spans="14:19" x14ac:dyDescent="0.25">
      <c r="Q85" s="4"/>
      <c r="R85" s="4"/>
      <c r="S85" s="4"/>
    </row>
    <row r="86" spans="14:19" x14ac:dyDescent="0.25">
      <c r="Q86" s="4"/>
      <c r="R86" s="4"/>
      <c r="S86" s="4"/>
    </row>
    <row r="87" spans="14:19" x14ac:dyDescent="0.25">
      <c r="Q87" s="4"/>
      <c r="R87" s="4"/>
      <c r="S87" s="4"/>
    </row>
    <row r="88" spans="14:19" x14ac:dyDescent="0.25">
      <c r="Q88" s="4"/>
      <c r="R88" s="4"/>
      <c r="S88" s="4"/>
    </row>
    <row r="89" spans="14:19" x14ac:dyDescent="0.25">
      <c r="Q89" s="4"/>
      <c r="R89" s="4"/>
      <c r="S89" s="4"/>
    </row>
    <row r="90" spans="14:19" x14ac:dyDescent="0.25">
      <c r="Q90" s="4"/>
      <c r="R90" s="4"/>
      <c r="S90" s="4"/>
    </row>
    <row r="91" spans="14:19" x14ac:dyDescent="0.25">
      <c r="Q91" s="4"/>
      <c r="R91" s="4"/>
      <c r="S91" s="4"/>
    </row>
    <row r="92" spans="14:19" x14ac:dyDescent="0.25">
      <c r="Q92" s="4"/>
      <c r="R92" s="4"/>
      <c r="S92" s="4"/>
    </row>
    <row r="93" spans="14:19" x14ac:dyDescent="0.25">
      <c r="Q93" s="4"/>
      <c r="R93" s="4"/>
      <c r="S93" s="4"/>
    </row>
    <row r="94" spans="14:19" x14ac:dyDescent="0.25">
      <c r="Q94" s="4"/>
      <c r="R94" s="4"/>
      <c r="S94" s="4"/>
    </row>
    <row r="95" spans="14:19" x14ac:dyDescent="0.25">
      <c r="Q95" s="4"/>
      <c r="R95" s="4"/>
      <c r="S95" s="4"/>
    </row>
    <row r="96" spans="14:19" x14ac:dyDescent="0.25">
      <c r="Q96" s="4"/>
      <c r="R96" s="4"/>
      <c r="S96" s="4"/>
    </row>
    <row r="97" spans="17:19" x14ac:dyDescent="0.25">
      <c r="Q97" s="4"/>
      <c r="R97" s="4"/>
      <c r="S97" s="4"/>
    </row>
    <row r="98" spans="17:19" x14ac:dyDescent="0.25">
      <c r="Q98" s="4"/>
      <c r="R98" s="4"/>
      <c r="S98" s="4"/>
    </row>
    <row r="99" spans="17:19" x14ac:dyDescent="0.25">
      <c r="Q99" s="4"/>
      <c r="R99" s="4"/>
      <c r="S99" s="4"/>
    </row>
    <row r="100" spans="17:19" x14ac:dyDescent="0.25">
      <c r="Q100" s="4"/>
      <c r="R100" s="4"/>
      <c r="S100" s="4"/>
    </row>
    <row r="101" spans="17:19" x14ac:dyDescent="0.25">
      <c r="Q101" s="4"/>
      <c r="R101" s="4"/>
      <c r="S101" s="4"/>
    </row>
    <row r="102" spans="17:19" x14ac:dyDescent="0.25">
      <c r="Q102" s="4"/>
      <c r="R102" s="4"/>
      <c r="S102" s="4"/>
    </row>
    <row r="103" spans="17:19" x14ac:dyDescent="0.25">
      <c r="Q103" s="4"/>
      <c r="R103" s="4"/>
      <c r="S103" s="4"/>
    </row>
    <row r="104" spans="17:19" x14ac:dyDescent="0.25">
      <c r="Q104" s="4"/>
      <c r="R104" s="4"/>
      <c r="S104" s="4"/>
    </row>
    <row r="105" spans="17:19" x14ac:dyDescent="0.25">
      <c r="Q105" s="4"/>
      <c r="R105" s="4"/>
      <c r="S105" s="4"/>
    </row>
    <row r="106" spans="17:19" x14ac:dyDescent="0.25">
      <c r="Q106" s="4"/>
      <c r="R106" s="4"/>
      <c r="S106" s="4"/>
    </row>
    <row r="107" spans="17:19" x14ac:dyDescent="0.25">
      <c r="Q107" s="4"/>
      <c r="R107" s="4"/>
      <c r="S107" s="4"/>
    </row>
    <row r="108" spans="17:19" x14ac:dyDescent="0.25">
      <c r="Q108" s="4"/>
      <c r="R108" s="4"/>
      <c r="S108" s="4"/>
    </row>
    <row r="109" spans="17:19" x14ac:dyDescent="0.25">
      <c r="Q109" s="4"/>
      <c r="R109" s="4"/>
      <c r="S109" s="4"/>
    </row>
    <row r="110" spans="17:19" x14ac:dyDescent="0.25">
      <c r="Q110" s="4"/>
      <c r="R110" s="4"/>
      <c r="S110" s="4"/>
    </row>
    <row r="111" spans="17:19" x14ac:dyDescent="0.25">
      <c r="Q111" s="4"/>
      <c r="R111" s="4"/>
      <c r="S111" s="4"/>
    </row>
    <row r="112" spans="17:19" x14ac:dyDescent="0.25">
      <c r="Q112" s="4"/>
      <c r="R112" s="4"/>
      <c r="S112" s="4"/>
    </row>
    <row r="113" spans="17:19" x14ac:dyDescent="0.25">
      <c r="Q113" s="4"/>
      <c r="R113" s="4"/>
      <c r="S113" s="4"/>
    </row>
    <row r="114" spans="17:19" x14ac:dyDescent="0.25">
      <c r="Q114" s="4"/>
      <c r="R114" s="4"/>
      <c r="S114" s="4"/>
    </row>
    <row r="115" spans="17:19" x14ac:dyDescent="0.25">
      <c r="Q115" s="4"/>
      <c r="R115" s="4"/>
      <c r="S115" s="4"/>
    </row>
    <row r="116" spans="17:19" x14ac:dyDescent="0.25">
      <c r="Q116" s="4"/>
      <c r="R116" s="4"/>
      <c r="S116" s="4"/>
    </row>
    <row r="117" spans="17:19" x14ac:dyDescent="0.25">
      <c r="Q117" s="4"/>
      <c r="R117" s="4"/>
      <c r="S117" s="4"/>
    </row>
    <row r="118" spans="17:19" x14ac:dyDescent="0.25">
      <c r="Q118" s="4"/>
      <c r="R118" s="4"/>
      <c r="S118" s="4"/>
    </row>
    <row r="119" spans="17:19" x14ac:dyDescent="0.25">
      <c r="Q119" s="4"/>
      <c r="R119" s="4"/>
      <c r="S119" s="4"/>
    </row>
    <row r="120" spans="17:19" x14ac:dyDescent="0.25">
      <c r="Q120" s="4"/>
      <c r="R120" s="4"/>
      <c r="S120" s="4"/>
    </row>
    <row r="121" spans="17:19" x14ac:dyDescent="0.25">
      <c r="Q121" s="4"/>
      <c r="R121" s="4"/>
      <c r="S121" s="4"/>
    </row>
    <row r="122" spans="17:19" x14ac:dyDescent="0.25">
      <c r="Q122" s="4"/>
      <c r="R122" s="4"/>
      <c r="S122" s="4"/>
    </row>
    <row r="123" spans="17:19" x14ac:dyDescent="0.25">
      <c r="Q123" s="4"/>
      <c r="R123" s="4"/>
      <c r="S123" s="4"/>
    </row>
    <row r="124" spans="17:19" x14ac:dyDescent="0.25">
      <c r="Q124" s="4"/>
      <c r="R124" s="4"/>
      <c r="S124" s="4"/>
    </row>
    <row r="125" spans="17:19" x14ac:dyDescent="0.25">
      <c r="Q125" s="4"/>
      <c r="R125" s="4"/>
      <c r="S125" s="4"/>
    </row>
    <row r="126" spans="17:19" x14ac:dyDescent="0.25">
      <c r="Q126" s="4"/>
      <c r="R126" s="4"/>
      <c r="S126" s="4"/>
    </row>
    <row r="127" spans="17:19" x14ac:dyDescent="0.25">
      <c r="Q127" s="4"/>
      <c r="R127" s="4"/>
      <c r="S127" s="4"/>
    </row>
    <row r="128" spans="17:19" x14ac:dyDescent="0.25">
      <c r="Q128" s="4"/>
      <c r="R128" s="4"/>
      <c r="S128" s="4"/>
    </row>
    <row r="129" spans="17:19" x14ac:dyDescent="0.25">
      <c r="Q129" s="4"/>
      <c r="R129" s="4"/>
      <c r="S129" s="4"/>
    </row>
    <row r="130" spans="17:19" x14ac:dyDescent="0.25">
      <c r="Q130" s="4"/>
      <c r="R130" s="4"/>
      <c r="S130" s="4"/>
    </row>
    <row r="131" spans="17:19" x14ac:dyDescent="0.25">
      <c r="Q131" s="4"/>
      <c r="R131" s="4"/>
      <c r="S131" s="4"/>
    </row>
    <row r="132" spans="17:19" x14ac:dyDescent="0.25">
      <c r="Q132" s="4"/>
      <c r="R132" s="4"/>
      <c r="S132" s="4"/>
    </row>
    <row r="133" spans="17:19" x14ac:dyDescent="0.25">
      <c r="Q133" s="4"/>
      <c r="R133" s="4"/>
      <c r="S133" s="4"/>
    </row>
    <row r="134" spans="17:19" x14ac:dyDescent="0.25">
      <c r="Q134" s="4"/>
      <c r="R134" s="4"/>
      <c r="S134" s="4"/>
    </row>
    <row r="135" spans="17:19" x14ac:dyDescent="0.25">
      <c r="Q135" s="4"/>
      <c r="R135" s="4"/>
      <c r="S135" s="4"/>
    </row>
    <row r="136" spans="17:19" x14ac:dyDescent="0.25">
      <c r="Q136" s="4"/>
      <c r="R136" s="4"/>
      <c r="S136" s="4"/>
    </row>
    <row r="137" spans="17:19" x14ac:dyDescent="0.25">
      <c r="Q137" s="4"/>
      <c r="R137" s="4"/>
      <c r="S137" s="4"/>
    </row>
    <row r="138" spans="17:19" x14ac:dyDescent="0.25">
      <c r="Q138" s="4"/>
      <c r="R138" s="4"/>
      <c r="S138" s="4"/>
    </row>
    <row r="139" spans="17:19" x14ac:dyDescent="0.25">
      <c r="Q139" s="4"/>
      <c r="R139" s="4"/>
      <c r="S139" s="4"/>
    </row>
    <row r="140" spans="17:19" x14ac:dyDescent="0.25">
      <c r="Q140" s="4"/>
      <c r="R140" s="4"/>
      <c r="S140" s="4"/>
    </row>
    <row r="141" spans="17:19" x14ac:dyDescent="0.25">
      <c r="Q141" s="4"/>
      <c r="R141" s="4"/>
      <c r="S141" s="4"/>
    </row>
    <row r="142" spans="17:19" x14ac:dyDescent="0.25">
      <c r="Q142" s="4"/>
      <c r="R142" s="4"/>
      <c r="S142" s="4"/>
    </row>
    <row r="143" spans="17:19" x14ac:dyDescent="0.25">
      <c r="Q143" s="4"/>
      <c r="R143" s="4"/>
      <c r="S143" s="4"/>
    </row>
    <row r="144" spans="17:19" x14ac:dyDescent="0.25">
      <c r="Q144" s="4"/>
      <c r="R144" s="4"/>
      <c r="S144" s="4"/>
    </row>
    <row r="145" spans="17:19" x14ac:dyDescent="0.25">
      <c r="Q145" s="4"/>
      <c r="R145" s="4"/>
      <c r="S145" s="4"/>
    </row>
  </sheetData>
  <phoneticPr fontId="0" type="noConversion"/>
  <hyperlinks>
    <hyperlink ref="A1" location="'Working Budget with funding det'!A1" display="Main " xr:uid="{00000000-0004-0000-3C00-000000000000}"/>
    <hyperlink ref="B1" location="'Table of Contents'!A1" display="TOC" xr:uid="{00000000-0004-0000-3C00-000001000000}"/>
  </hyperlinks>
  <pageMargins left="0.75" right="0.75" top="1" bottom="1" header="0.5" footer="0.5"/>
  <pageSetup orientation="landscape" horizontalDpi="300" verticalDpi="300" r:id="rId1"/>
  <headerFooter alignWithMargins="0">
    <oddFooter>&amp;L&amp;D     &amp;T&amp;C&amp;F&amp;R&amp;A</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92D050"/>
    <pageSetUpPr fitToPage="1"/>
  </sheetPr>
  <dimension ref="A1:M61"/>
  <sheetViews>
    <sheetView topLeftCell="A33" workbookViewId="0">
      <selection activeCell="C52" sqref="C52"/>
    </sheetView>
  </sheetViews>
  <sheetFormatPr defaultRowHeight="13.2" x14ac:dyDescent="0.25"/>
  <cols>
    <col min="1" max="1" width="3.44140625" customWidth="1"/>
    <col min="2" max="2" width="4" customWidth="1"/>
    <col min="3" max="3" width="14.77734375" customWidth="1"/>
    <col min="4" max="4" width="9.88671875" bestFit="1" customWidth="1"/>
  </cols>
  <sheetData>
    <row r="1" spans="1:13" x14ac:dyDescent="0.25">
      <c r="A1" s="4" t="s">
        <v>1498</v>
      </c>
      <c r="B1" s="4"/>
      <c r="C1" s="4"/>
      <c r="D1" s="4"/>
      <c r="E1" s="4"/>
      <c r="F1" s="4"/>
      <c r="G1" s="4"/>
      <c r="H1" s="4"/>
      <c r="I1" s="4"/>
      <c r="J1" s="1125" t="s">
        <v>1879</v>
      </c>
      <c r="K1" s="1125"/>
      <c r="L1" s="1125"/>
      <c r="M1" s="4"/>
    </row>
    <row r="2" spans="1:13" x14ac:dyDescent="0.25">
      <c r="A2" s="4"/>
      <c r="B2" s="4"/>
      <c r="C2" s="4"/>
      <c r="D2" s="4"/>
      <c r="E2" s="4"/>
      <c r="F2" s="4"/>
      <c r="G2" s="4"/>
      <c r="H2" s="4"/>
      <c r="I2" s="4"/>
      <c r="J2" s="4"/>
      <c r="K2" s="4"/>
      <c r="L2" s="4"/>
      <c r="M2" s="4"/>
    </row>
    <row r="3" spans="1:13" x14ac:dyDescent="0.25">
      <c r="A3" s="4" t="s">
        <v>1499</v>
      </c>
      <c r="B3" s="4" t="s">
        <v>1500</v>
      </c>
      <c r="C3" s="4"/>
      <c r="D3" s="4"/>
      <c r="E3" s="4"/>
      <c r="F3" s="4"/>
      <c r="G3" s="4"/>
      <c r="H3" s="4"/>
      <c r="I3" s="4"/>
      <c r="J3" s="4"/>
      <c r="K3" s="4"/>
      <c r="L3" s="4"/>
      <c r="M3" s="4"/>
    </row>
    <row r="4" spans="1:13" x14ac:dyDescent="0.25">
      <c r="A4" s="4"/>
      <c r="B4" s="4" t="s">
        <v>50</v>
      </c>
      <c r="C4" s="4" t="s">
        <v>1501</v>
      </c>
      <c r="D4" s="4"/>
      <c r="E4" s="4"/>
      <c r="F4" s="4"/>
      <c r="G4" s="4"/>
      <c r="H4" s="4"/>
      <c r="I4" s="4"/>
      <c r="J4" s="4"/>
      <c r="K4" s="4"/>
      <c r="L4" s="4"/>
      <c r="M4" s="4"/>
    </row>
    <row r="5" spans="1:13" x14ac:dyDescent="0.25">
      <c r="A5" s="4"/>
      <c r="B5" s="4"/>
      <c r="C5" s="678">
        <f>+C55</f>
        <v>9.7127000000000005E-2</v>
      </c>
      <c r="D5" s="26" t="s">
        <v>1502</v>
      </c>
      <c r="E5" s="4"/>
      <c r="F5" s="4"/>
      <c r="G5" s="4"/>
      <c r="H5" s="4"/>
      <c r="I5" s="4"/>
      <c r="J5" s="4"/>
      <c r="K5" s="4"/>
      <c r="L5" s="4"/>
      <c r="M5" s="4"/>
    </row>
    <row r="6" spans="1:13" ht="13.8" thickBot="1" x14ac:dyDescent="0.3">
      <c r="A6" s="4"/>
      <c r="B6" s="4"/>
      <c r="C6" s="1126">
        <v>14240</v>
      </c>
      <c r="D6" s="4" t="s">
        <v>1503</v>
      </c>
      <c r="E6" s="4"/>
      <c r="F6" s="4"/>
      <c r="G6" s="4"/>
      <c r="H6" s="4"/>
      <c r="I6" s="4"/>
      <c r="J6" s="4"/>
      <c r="K6" s="4"/>
      <c r="L6" s="4"/>
      <c r="M6" s="4"/>
    </row>
    <row r="7" spans="1:13" ht="13.8" thickBot="1" x14ac:dyDescent="0.3">
      <c r="A7" s="4"/>
      <c r="B7" s="4"/>
      <c r="C7" s="854">
        <f>ROUND((+C6*C5),0)</f>
        <v>1383</v>
      </c>
      <c r="D7" s="4" t="s">
        <v>1504</v>
      </c>
      <c r="E7" s="4"/>
      <c r="F7" s="4"/>
      <c r="G7" s="4"/>
      <c r="H7" s="4"/>
      <c r="I7" s="4"/>
      <c r="J7" s="4"/>
      <c r="K7" s="4"/>
      <c r="L7" s="4"/>
      <c r="M7" s="4"/>
    </row>
    <row r="8" spans="1:13" x14ac:dyDescent="0.25">
      <c r="A8" s="4"/>
      <c r="B8" s="4"/>
      <c r="C8" s="4"/>
      <c r="D8" s="4"/>
      <c r="E8" s="4"/>
      <c r="F8" s="4"/>
      <c r="G8" s="4"/>
      <c r="H8" s="4"/>
      <c r="I8" s="4"/>
      <c r="J8" s="4"/>
      <c r="K8" s="4"/>
      <c r="L8" s="4"/>
      <c r="M8" s="4"/>
    </row>
    <row r="9" spans="1:13" x14ac:dyDescent="0.25">
      <c r="A9" s="4"/>
      <c r="B9" s="4" t="s">
        <v>51</v>
      </c>
      <c r="C9" s="4" t="s">
        <v>1505</v>
      </c>
      <c r="D9" s="4"/>
      <c r="E9" s="4"/>
      <c r="F9" s="4"/>
      <c r="G9" s="4"/>
      <c r="H9" s="4"/>
      <c r="I9" s="4"/>
      <c r="J9" s="4"/>
      <c r="K9" s="4"/>
      <c r="L9" s="4"/>
      <c r="M9" s="4"/>
    </row>
    <row r="10" spans="1:13" x14ac:dyDescent="0.25">
      <c r="A10" s="4"/>
      <c r="B10" s="4"/>
      <c r="C10" s="855">
        <f>+'661 440 WPCF'!O16+'661 440 WPCF'!O17</f>
        <v>163000</v>
      </c>
      <c r="D10" s="4" t="s">
        <v>1506</v>
      </c>
      <c r="E10" s="4"/>
      <c r="F10" s="4"/>
      <c r="G10" s="4"/>
      <c r="H10" s="4"/>
      <c r="I10" s="4"/>
      <c r="J10" s="4"/>
      <c r="K10" s="4"/>
      <c r="L10" s="4"/>
      <c r="M10" s="4"/>
    </row>
    <row r="11" spans="1:13" x14ac:dyDescent="0.25">
      <c r="A11" s="4"/>
      <c r="B11" s="4"/>
      <c r="C11" s="840">
        <v>0.08</v>
      </c>
      <c r="D11" s="4" t="s">
        <v>1507</v>
      </c>
      <c r="E11" s="4"/>
      <c r="F11" s="4"/>
      <c r="G11" s="4"/>
      <c r="H11" s="4"/>
      <c r="I11" s="4"/>
      <c r="J11" s="26"/>
      <c r="K11" s="4"/>
      <c r="L11" s="4"/>
      <c r="M11" s="4"/>
    </row>
    <row r="12" spans="1:13" ht="13.8" thickBot="1" x14ac:dyDescent="0.3">
      <c r="A12" s="4"/>
      <c r="B12" s="4"/>
      <c r="C12" s="678">
        <f>+C49</f>
        <v>0.279582</v>
      </c>
      <c r="D12" s="26" t="s">
        <v>1508</v>
      </c>
      <c r="E12" s="4"/>
      <c r="F12" s="4"/>
      <c r="G12" s="4"/>
      <c r="H12" s="4"/>
      <c r="I12" s="4"/>
      <c r="J12" s="4"/>
      <c r="K12" s="4"/>
      <c r="L12" s="4"/>
      <c r="M12" s="4"/>
    </row>
    <row r="13" spans="1:13" ht="13.8" thickBot="1" x14ac:dyDescent="0.3">
      <c r="A13" s="4"/>
      <c r="B13" s="4"/>
      <c r="C13" s="854">
        <f>ROUND((+C10*C11*C12),0)</f>
        <v>3646</v>
      </c>
      <c r="D13" s="4" t="s">
        <v>1509</v>
      </c>
      <c r="E13" s="4"/>
      <c r="F13" s="4"/>
      <c r="G13" s="4"/>
      <c r="H13" s="4"/>
      <c r="I13" s="4"/>
      <c r="J13" s="4"/>
      <c r="K13" s="4"/>
      <c r="L13" s="4"/>
      <c r="M13" s="4"/>
    </row>
    <row r="14" spans="1:13" x14ac:dyDescent="0.25">
      <c r="A14" s="4"/>
      <c r="B14" s="4"/>
      <c r="C14" s="4"/>
      <c r="D14" s="4"/>
      <c r="E14" s="4"/>
      <c r="F14" s="4"/>
      <c r="G14" s="4"/>
      <c r="H14" s="4"/>
      <c r="I14" s="4"/>
      <c r="J14" s="4"/>
      <c r="K14" s="4"/>
      <c r="L14" s="4"/>
      <c r="M14" s="4"/>
    </row>
    <row r="15" spans="1:13" x14ac:dyDescent="0.25">
      <c r="A15" s="4"/>
      <c r="B15" s="4" t="s">
        <v>52</v>
      </c>
      <c r="C15" s="4" t="s">
        <v>1510</v>
      </c>
      <c r="D15" s="4"/>
      <c r="E15" s="4"/>
      <c r="F15" s="4"/>
      <c r="G15" s="4"/>
      <c r="H15" s="4"/>
      <c r="I15" s="4"/>
      <c r="J15" s="4"/>
      <c r="K15" s="4"/>
      <c r="L15" s="4"/>
      <c r="M15" s="4"/>
    </row>
    <row r="16" spans="1:13" x14ac:dyDescent="0.25">
      <c r="A16" s="4"/>
      <c r="B16" s="4"/>
      <c r="C16" s="841">
        <f>+C49</f>
        <v>0.279582</v>
      </c>
      <c r="D16" s="26" t="s">
        <v>1508</v>
      </c>
      <c r="E16" s="4"/>
      <c r="F16" s="4"/>
      <c r="G16" s="4"/>
      <c r="H16" s="4"/>
      <c r="I16" s="4"/>
      <c r="J16" s="4"/>
      <c r="K16" s="4"/>
      <c r="L16" s="4"/>
      <c r="M16" s="4"/>
    </row>
    <row r="17" spans="1:13" x14ac:dyDescent="0.25">
      <c r="A17" s="4"/>
      <c r="B17" s="4"/>
      <c r="C17" s="1126">
        <v>15339</v>
      </c>
      <c r="D17" s="26" t="s">
        <v>1511</v>
      </c>
      <c r="E17" s="4"/>
      <c r="F17" s="4"/>
      <c r="G17" s="4"/>
      <c r="H17" s="4"/>
      <c r="I17" s="4"/>
      <c r="J17" s="4"/>
      <c r="K17" s="4"/>
      <c r="L17" s="4"/>
      <c r="M17" s="4"/>
    </row>
    <row r="18" spans="1:13" ht="13.8" thickBot="1" x14ac:dyDescent="0.3">
      <c r="A18" s="4"/>
      <c r="B18" s="4"/>
      <c r="C18" s="4"/>
      <c r="D18" s="842" t="s">
        <v>1512</v>
      </c>
      <c r="E18" s="842"/>
      <c r="F18" s="842"/>
      <c r="G18" s="842"/>
      <c r="H18" s="842"/>
      <c r="I18" s="842"/>
      <c r="J18" s="842"/>
      <c r="K18" s="842"/>
      <c r="L18" s="842"/>
      <c r="M18" s="4"/>
    </row>
    <row r="19" spans="1:13" ht="13.8" thickBot="1" x14ac:dyDescent="0.3">
      <c r="A19" s="4"/>
      <c r="B19" s="4"/>
      <c r="C19" s="854">
        <f>ROUND((+C17*C49),0)</f>
        <v>4289</v>
      </c>
      <c r="D19" s="4" t="s">
        <v>1513</v>
      </c>
      <c r="E19" s="4"/>
      <c r="F19" s="4"/>
      <c r="G19" s="4"/>
      <c r="H19" s="4"/>
      <c r="I19" s="4"/>
      <c r="J19" s="4"/>
      <c r="K19" s="4"/>
      <c r="L19" s="4"/>
      <c r="M19" s="4"/>
    </row>
    <row r="20" spans="1:13" x14ac:dyDescent="0.25">
      <c r="A20" s="4"/>
      <c r="B20" s="4"/>
      <c r="C20" s="4"/>
      <c r="D20" s="4"/>
      <c r="E20" s="4"/>
      <c r="F20" s="4"/>
      <c r="G20" s="4"/>
      <c r="H20" s="4"/>
      <c r="I20" s="4"/>
      <c r="J20" s="4"/>
      <c r="K20" s="4"/>
      <c r="L20" s="4"/>
      <c r="M20" s="4"/>
    </row>
    <row r="21" spans="1:13" x14ac:dyDescent="0.25">
      <c r="A21" s="4"/>
      <c r="B21" s="4" t="s">
        <v>751</v>
      </c>
      <c r="C21" s="4" t="s">
        <v>1514</v>
      </c>
      <c r="D21" s="4"/>
      <c r="E21" s="4"/>
      <c r="F21" s="4"/>
      <c r="G21" s="4"/>
      <c r="H21" s="4"/>
      <c r="I21" s="4"/>
      <c r="J21" s="4"/>
      <c r="K21" s="4"/>
      <c r="L21" s="4"/>
      <c r="M21" s="4"/>
    </row>
    <row r="22" spans="1:13" x14ac:dyDescent="0.25">
      <c r="A22" s="4"/>
      <c r="B22" s="4"/>
      <c r="C22" s="4" t="s">
        <v>1515</v>
      </c>
      <c r="D22" s="4"/>
      <c r="E22" s="4"/>
      <c r="F22" s="4"/>
      <c r="G22" s="4"/>
      <c r="H22" s="4"/>
      <c r="I22" s="4"/>
      <c r="J22" s="4"/>
      <c r="K22" s="4"/>
      <c r="L22" s="4"/>
      <c r="M22" s="4"/>
    </row>
    <row r="23" spans="1:13" x14ac:dyDescent="0.25">
      <c r="A23" s="4"/>
      <c r="B23" s="4"/>
      <c r="C23" s="855">
        <f>+'661 440 WPCF'!O9</f>
        <v>481993</v>
      </c>
      <c r="D23" s="876">
        <v>5110</v>
      </c>
      <c r="E23" s="4" t="s">
        <v>994</v>
      </c>
      <c r="F23" s="4"/>
      <c r="G23" s="4"/>
      <c r="H23" s="4"/>
      <c r="I23" s="4"/>
      <c r="J23" s="4"/>
      <c r="K23" s="4"/>
      <c r="L23" s="4"/>
      <c r="M23" s="4"/>
    </row>
    <row r="24" spans="1:13" x14ac:dyDescent="0.25">
      <c r="A24" s="4"/>
      <c r="B24" s="4"/>
      <c r="C24" s="855">
        <f>+'661 440 WPCF'!O10</f>
        <v>45000</v>
      </c>
      <c r="D24" s="876">
        <v>5132</v>
      </c>
      <c r="E24" s="4" t="s">
        <v>1516</v>
      </c>
      <c r="F24" s="4"/>
      <c r="G24" s="4"/>
      <c r="H24" s="4"/>
      <c r="I24" s="4"/>
      <c r="J24" s="4"/>
      <c r="K24" s="4"/>
      <c r="L24" s="4"/>
      <c r="M24" s="4"/>
    </row>
    <row r="25" spans="1:13" x14ac:dyDescent="0.25">
      <c r="A25" s="4"/>
      <c r="B25" s="4"/>
      <c r="C25" s="855">
        <f>+'661 910 WPCF Benefits'!O10</f>
        <v>12000</v>
      </c>
      <c r="D25" s="876">
        <v>5172</v>
      </c>
      <c r="E25" s="4" t="s">
        <v>1463</v>
      </c>
      <c r="F25" s="4"/>
      <c r="G25" s="4"/>
      <c r="H25" s="4"/>
      <c r="I25" s="4"/>
      <c r="J25" s="4"/>
      <c r="K25" s="4"/>
      <c r="L25" s="4"/>
      <c r="M25" s="4"/>
    </row>
    <row r="26" spans="1:13" x14ac:dyDescent="0.25">
      <c r="A26" s="4"/>
      <c r="B26" s="4"/>
      <c r="C26" s="855">
        <f>+'661 910 WPCF Benefits'!O12</f>
        <v>174000</v>
      </c>
      <c r="D26" s="876">
        <v>5174</v>
      </c>
      <c r="E26" s="4" t="s">
        <v>240</v>
      </c>
      <c r="F26" s="4"/>
      <c r="G26" s="4"/>
      <c r="H26" s="4"/>
      <c r="I26" s="4"/>
      <c r="J26" s="4"/>
      <c r="K26" s="4"/>
      <c r="L26" s="4"/>
      <c r="M26" s="4"/>
    </row>
    <row r="27" spans="1:13" x14ac:dyDescent="0.25">
      <c r="A27" s="4"/>
      <c r="B27" s="4"/>
      <c r="C27" s="856">
        <f>+'661 910 WPCF Benefits'!O9</f>
        <v>136308</v>
      </c>
      <c r="D27" s="876">
        <v>5191</v>
      </c>
      <c r="E27" s="4" t="s">
        <v>857</v>
      </c>
      <c r="F27" s="4"/>
      <c r="G27" s="4"/>
      <c r="H27" s="4"/>
      <c r="I27" s="4"/>
      <c r="J27" s="4"/>
      <c r="K27" s="4"/>
      <c r="L27" s="4"/>
      <c r="M27" s="4"/>
    </row>
    <row r="28" spans="1:13" ht="13.8" thickBot="1" x14ac:dyDescent="0.3">
      <c r="A28" s="4"/>
      <c r="B28" s="4"/>
      <c r="C28" s="742">
        <f>SUM(C23:C27)</f>
        <v>849301</v>
      </c>
      <c r="D28" s="4"/>
      <c r="E28" s="4"/>
      <c r="F28" s="4"/>
      <c r="G28" s="4"/>
      <c r="H28" s="4"/>
      <c r="I28" s="4"/>
      <c r="J28" s="4"/>
      <c r="K28" s="4"/>
      <c r="L28" s="4"/>
      <c r="M28" s="4"/>
    </row>
    <row r="29" spans="1:13" ht="13.8" thickBot="1" x14ac:dyDescent="0.3">
      <c r="A29" s="4"/>
      <c r="B29" s="4"/>
      <c r="C29" s="854">
        <f>ROUND((+C28/8),0)</f>
        <v>106163</v>
      </c>
      <c r="D29" s="844" t="s">
        <v>1517</v>
      </c>
      <c r="E29" s="4"/>
      <c r="F29" s="4"/>
      <c r="G29" s="4"/>
      <c r="H29" s="4"/>
      <c r="I29" s="4"/>
      <c r="J29" s="4"/>
      <c r="K29" s="4"/>
      <c r="L29" s="4"/>
      <c r="M29" s="4"/>
    </row>
    <row r="30" spans="1:13" x14ac:dyDescent="0.25">
      <c r="A30" s="4"/>
      <c r="B30" s="4"/>
      <c r="C30" s="4"/>
      <c r="D30" s="4"/>
      <c r="E30" s="4"/>
      <c r="F30" s="4"/>
      <c r="G30" s="4"/>
      <c r="H30" s="4"/>
      <c r="I30" s="4"/>
      <c r="J30" s="4"/>
      <c r="K30" s="4"/>
      <c r="L30" s="4"/>
      <c r="M30" s="4"/>
    </row>
    <row r="31" spans="1:13" x14ac:dyDescent="0.25">
      <c r="A31" s="4" t="s">
        <v>1518</v>
      </c>
      <c r="B31" s="4" t="s">
        <v>1519</v>
      </c>
      <c r="C31" s="4"/>
      <c r="D31" s="4"/>
      <c r="E31" s="4"/>
      <c r="F31" s="4"/>
      <c r="G31" s="4"/>
      <c r="H31" s="4"/>
      <c r="I31" s="4"/>
      <c r="J31" s="4"/>
      <c r="K31" s="4"/>
      <c r="L31" s="4"/>
      <c r="M31" s="4"/>
    </row>
    <row r="32" spans="1:13" x14ac:dyDescent="0.25">
      <c r="A32" s="4"/>
      <c r="B32" s="4"/>
      <c r="C32" s="1126">
        <v>36121824</v>
      </c>
      <c r="D32" s="251"/>
      <c r="E32" s="4" t="s">
        <v>1520</v>
      </c>
      <c r="F32" s="4"/>
      <c r="G32" s="4"/>
      <c r="H32" s="4"/>
      <c r="I32" s="4"/>
      <c r="J32" s="4"/>
      <c r="K32" s="4"/>
      <c r="L32" s="4"/>
      <c r="M32" s="4"/>
    </row>
    <row r="33" spans="1:13" x14ac:dyDescent="0.25">
      <c r="A33" s="4"/>
      <c r="B33" s="4"/>
      <c r="C33" s="857"/>
      <c r="D33" s="251"/>
      <c r="E33" s="4" t="s">
        <v>1521</v>
      </c>
      <c r="F33" s="4"/>
      <c r="G33" s="4"/>
      <c r="H33" s="4"/>
      <c r="I33" s="4"/>
      <c r="J33" s="4"/>
      <c r="K33" s="4"/>
      <c r="L33" s="4"/>
      <c r="M33" s="4"/>
    </row>
    <row r="34" spans="1:13" x14ac:dyDescent="0.25">
      <c r="A34" s="4"/>
      <c r="B34" s="4"/>
      <c r="C34" s="1126">
        <v>-11336000</v>
      </c>
      <c r="D34" s="697"/>
      <c r="E34" s="4" t="s">
        <v>1522</v>
      </c>
      <c r="F34" s="4"/>
      <c r="G34" s="4"/>
      <c r="H34" s="4"/>
      <c r="I34" s="4"/>
      <c r="J34" s="4"/>
      <c r="K34" s="4"/>
      <c r="L34" s="4"/>
      <c r="M34" s="4"/>
    </row>
    <row r="35" spans="1:13" x14ac:dyDescent="0.25">
      <c r="A35" s="4"/>
      <c r="B35" s="4"/>
      <c r="C35" s="857">
        <f>SUM(C32:C34)</f>
        <v>24785824</v>
      </c>
      <c r="D35" s="251"/>
      <c r="E35" s="4" t="s">
        <v>1523</v>
      </c>
      <c r="F35" s="4"/>
      <c r="G35" s="4"/>
      <c r="H35" s="4"/>
      <c r="I35" s="4"/>
      <c r="J35" s="4"/>
      <c r="K35" s="4"/>
      <c r="L35" s="4"/>
      <c r="M35" s="4"/>
    </row>
    <row r="36" spans="1:13" x14ac:dyDescent="0.25">
      <c r="A36" s="4"/>
      <c r="B36" s="4"/>
      <c r="C36" s="845">
        <f>ROUND((+C35/C32),6)</f>
        <v>0.68617300000000003</v>
      </c>
      <c r="D36" s="251"/>
      <c r="E36" s="4" t="s">
        <v>1524</v>
      </c>
      <c r="F36" s="4"/>
      <c r="G36" s="4"/>
      <c r="H36" s="4"/>
      <c r="I36" s="4"/>
      <c r="J36" s="4"/>
      <c r="K36" s="4"/>
      <c r="L36" s="4"/>
      <c r="M36" s="4"/>
    </row>
    <row r="37" spans="1:13" x14ac:dyDescent="0.25">
      <c r="A37" s="4"/>
      <c r="B37" s="4"/>
      <c r="C37" s="95"/>
      <c r="D37" s="251"/>
      <c r="E37" s="4"/>
      <c r="F37" s="4"/>
      <c r="G37" s="4"/>
      <c r="H37" s="4"/>
      <c r="I37" s="4"/>
      <c r="J37" s="4"/>
      <c r="K37" s="4"/>
      <c r="L37" s="4"/>
      <c r="M37" s="4"/>
    </row>
    <row r="38" spans="1:13" ht="13.8" thickBot="1" x14ac:dyDescent="0.3">
      <c r="A38" s="4"/>
      <c r="B38" s="4"/>
      <c r="C38" s="857">
        <f>+'661 440 WPCF'!O55</f>
        <v>220000</v>
      </c>
      <c r="D38" s="251"/>
      <c r="E38" s="4" t="s">
        <v>1525</v>
      </c>
      <c r="F38" s="4"/>
      <c r="G38" s="4"/>
      <c r="H38" s="4"/>
      <c r="I38" s="4"/>
      <c r="J38" s="4"/>
      <c r="K38" s="4"/>
      <c r="L38" s="4"/>
      <c r="M38" s="4"/>
    </row>
    <row r="39" spans="1:13" ht="13.8" thickBot="1" x14ac:dyDescent="0.3">
      <c r="A39" s="4"/>
      <c r="B39" s="4"/>
      <c r="C39" s="858">
        <f>ROUND((+C38*C36),0)</f>
        <v>150958</v>
      </c>
      <c r="D39" s="846"/>
      <c r="E39" s="4" t="s">
        <v>1526</v>
      </c>
      <c r="F39" s="4"/>
      <c r="G39" s="4"/>
      <c r="H39" s="4"/>
      <c r="I39" s="4"/>
      <c r="J39" s="4"/>
      <c r="K39" s="4"/>
      <c r="L39" s="4"/>
      <c r="M39" s="4"/>
    </row>
    <row r="40" spans="1:13" x14ac:dyDescent="0.25">
      <c r="A40" s="4"/>
      <c r="B40" s="4"/>
      <c r="C40" s="4"/>
      <c r="D40" s="4"/>
      <c r="E40" s="4"/>
      <c r="F40" s="4"/>
      <c r="G40" s="4"/>
      <c r="H40" s="4"/>
      <c r="I40" s="4"/>
      <c r="J40" s="4"/>
      <c r="K40" s="4"/>
      <c r="L40" s="4"/>
      <c r="M40" s="4"/>
    </row>
    <row r="41" spans="1:13" ht="18" thickBot="1" x14ac:dyDescent="0.35">
      <c r="A41" s="847" t="s">
        <v>1667</v>
      </c>
      <c r="B41" s="847"/>
      <c r="C41" s="847"/>
      <c r="D41" s="4"/>
      <c r="E41" s="4"/>
      <c r="F41" s="4"/>
      <c r="G41" s="4"/>
      <c r="H41" s="4"/>
      <c r="I41" s="4"/>
      <c r="J41" s="4"/>
      <c r="K41" s="4"/>
      <c r="L41" s="4"/>
      <c r="M41" s="4"/>
    </row>
    <row r="42" spans="1:13" ht="18" thickBot="1" x14ac:dyDescent="0.35">
      <c r="A42" s="847"/>
      <c r="B42" s="847"/>
      <c r="C42" s="859">
        <f>+C39+C29+C19+C13+C7</f>
        <v>266439</v>
      </c>
      <c r="D42" s="4"/>
      <c r="E42" s="4"/>
      <c r="F42" s="4"/>
      <c r="G42" s="4"/>
      <c r="H42" s="4"/>
      <c r="I42" s="4"/>
      <c r="J42" s="4"/>
      <c r="K42" s="4"/>
      <c r="L42" s="4"/>
      <c r="M42" s="4"/>
    </row>
    <row r="43" spans="1:13" x14ac:dyDescent="0.25">
      <c r="A43" s="4"/>
      <c r="B43" s="4"/>
      <c r="C43" s="4"/>
      <c r="D43" s="4"/>
      <c r="E43" s="4"/>
      <c r="F43" s="4"/>
      <c r="G43" s="4"/>
      <c r="H43" s="4"/>
      <c r="I43" s="4"/>
      <c r="J43" s="4"/>
      <c r="K43" s="4"/>
      <c r="L43" s="4"/>
      <c r="M43" s="4"/>
    </row>
    <row r="44" spans="1:13" x14ac:dyDescent="0.25">
      <c r="A44" s="4"/>
      <c r="B44" s="848"/>
      <c r="C44" s="849" t="s">
        <v>1527</v>
      </c>
      <c r="D44" s="849"/>
      <c r="E44" s="849"/>
      <c r="F44" s="849"/>
      <c r="G44" s="849"/>
      <c r="H44" s="849"/>
      <c r="I44" s="849"/>
      <c r="J44" s="850"/>
      <c r="K44" s="4"/>
      <c r="L44" s="4"/>
      <c r="M44" s="4"/>
    </row>
    <row r="45" spans="1:13" x14ac:dyDescent="0.25">
      <c r="A45" s="4"/>
      <c r="B45" s="851"/>
      <c r="C45" s="1127">
        <v>287620000</v>
      </c>
      <c r="D45" s="26" t="s">
        <v>1528</v>
      </c>
      <c r="E45" s="26"/>
      <c r="F45" s="26"/>
      <c r="G45" s="26"/>
      <c r="H45" s="26"/>
      <c r="I45" s="26"/>
      <c r="J45" s="724"/>
      <c r="K45" s="4"/>
      <c r="L45" s="4"/>
      <c r="M45" s="4"/>
    </row>
    <row r="46" spans="1:13" x14ac:dyDescent="0.25">
      <c r="A46" s="4"/>
      <c r="B46" s="851"/>
      <c r="C46" s="1128">
        <v>-207206600</v>
      </c>
      <c r="D46" s="26" t="s">
        <v>1529</v>
      </c>
      <c r="E46" s="26"/>
      <c r="F46" s="26"/>
      <c r="G46" s="26"/>
      <c r="H46" s="26"/>
      <c r="I46" s="26"/>
      <c r="J46" s="724"/>
      <c r="K46" s="4"/>
      <c r="L46" s="4"/>
      <c r="M46" s="4"/>
    </row>
    <row r="47" spans="1:13" x14ac:dyDescent="0.25">
      <c r="A47" s="4"/>
      <c r="B47" s="851"/>
      <c r="C47" s="860">
        <f>SUM(C45:C46)</f>
        <v>80413400</v>
      </c>
      <c r="D47" s="26" t="s">
        <v>1530</v>
      </c>
      <c r="E47" s="26"/>
      <c r="F47" s="26"/>
      <c r="G47" s="26"/>
      <c r="H47" s="26"/>
      <c r="I47" s="26"/>
      <c r="J47" s="724"/>
      <c r="K47" s="4"/>
      <c r="L47" s="4"/>
      <c r="M47" s="4"/>
    </row>
    <row r="48" spans="1:13" x14ac:dyDescent="0.25">
      <c r="A48" s="4"/>
      <c r="B48" s="851"/>
      <c r="C48" s="26"/>
      <c r="D48" s="26"/>
      <c r="E48" s="26"/>
      <c r="F48" s="26"/>
      <c r="G48" s="26"/>
      <c r="H48" s="26"/>
      <c r="I48" s="26"/>
      <c r="J48" s="724"/>
      <c r="K48" s="4"/>
      <c r="L48" s="4"/>
      <c r="M48" s="4"/>
    </row>
    <row r="49" spans="1:13" x14ac:dyDescent="0.25">
      <c r="A49" s="4"/>
      <c r="B49" s="29"/>
      <c r="C49" s="747">
        <f>ROUND((+C47/C45),6)</f>
        <v>0.279582</v>
      </c>
      <c r="D49" s="843" t="s">
        <v>1531</v>
      </c>
      <c r="E49" s="843"/>
      <c r="F49" s="843"/>
      <c r="G49" s="843"/>
      <c r="H49" s="843"/>
      <c r="I49" s="843"/>
      <c r="J49" s="852"/>
      <c r="K49" s="4"/>
      <c r="L49" s="4"/>
      <c r="M49" s="4"/>
    </row>
    <row r="50" spans="1:13" x14ac:dyDescent="0.25">
      <c r="A50" s="4"/>
      <c r="B50" s="4"/>
      <c r="C50" s="4"/>
      <c r="D50" s="4"/>
      <c r="E50" s="4"/>
      <c r="F50" s="4"/>
      <c r="G50" s="4"/>
      <c r="H50" s="4"/>
      <c r="I50" s="4"/>
      <c r="J50" s="4"/>
      <c r="K50" s="4"/>
      <c r="L50" s="4"/>
      <c r="M50" s="4"/>
    </row>
    <row r="51" spans="1:13" x14ac:dyDescent="0.25">
      <c r="A51" s="4"/>
      <c r="B51" s="848"/>
      <c r="C51" s="849" t="s">
        <v>1532</v>
      </c>
      <c r="D51" s="849"/>
      <c r="E51" s="849"/>
      <c r="F51" s="849"/>
      <c r="G51" s="849"/>
      <c r="H51" s="849"/>
      <c r="I51" s="849"/>
      <c r="J51" s="850"/>
      <c r="K51" s="4"/>
      <c r="L51" s="4"/>
      <c r="M51" s="4"/>
    </row>
    <row r="52" spans="1:13" x14ac:dyDescent="0.25">
      <c r="A52" s="4"/>
      <c r="B52" s="851"/>
      <c r="C52" s="1127">
        <v>1035729</v>
      </c>
      <c r="D52" s="697"/>
      <c r="E52" s="26" t="s">
        <v>1533</v>
      </c>
      <c r="F52" s="26"/>
      <c r="G52" s="26"/>
      <c r="H52" s="26"/>
      <c r="I52" s="26"/>
      <c r="J52" s="724"/>
      <c r="K52" s="4"/>
      <c r="L52" s="4"/>
      <c r="M52" s="4"/>
    </row>
    <row r="53" spans="1:13" x14ac:dyDescent="0.25">
      <c r="A53" s="4"/>
      <c r="B53" s="851"/>
      <c r="C53" s="861">
        <f>ROUND(((+C47/10^6)*150*8.34),)</f>
        <v>100597</v>
      </c>
      <c r="D53" s="697"/>
      <c r="E53" s="26" t="s">
        <v>1534</v>
      </c>
      <c r="F53" s="26"/>
      <c r="G53" s="26"/>
      <c r="H53" s="26"/>
      <c r="I53" s="26"/>
      <c r="J53" s="724"/>
      <c r="K53" s="4"/>
      <c r="L53" s="4"/>
      <c r="M53" s="4"/>
    </row>
    <row r="54" spans="1:13" x14ac:dyDescent="0.25">
      <c r="A54" s="4"/>
      <c r="B54" s="851"/>
      <c r="C54" s="26"/>
      <c r="D54" s="697"/>
      <c r="E54" s="26" t="s">
        <v>1535</v>
      </c>
      <c r="F54" s="26"/>
      <c r="G54" s="26"/>
      <c r="H54" s="26"/>
      <c r="I54" s="26"/>
      <c r="J54" s="724"/>
      <c r="K54" s="4"/>
      <c r="L54" s="4"/>
      <c r="M54" s="4"/>
    </row>
    <row r="55" spans="1:13" x14ac:dyDescent="0.25">
      <c r="A55" s="4"/>
      <c r="B55" s="29"/>
      <c r="C55" s="747">
        <f>ROUND((+C53/C52),6)</f>
        <v>9.7127000000000005E-2</v>
      </c>
      <c r="D55" s="853"/>
      <c r="E55" s="843" t="s">
        <v>1536</v>
      </c>
      <c r="F55" s="843"/>
      <c r="G55" s="843"/>
      <c r="H55" s="843"/>
      <c r="I55" s="843"/>
      <c r="J55" s="852"/>
      <c r="K55" s="4"/>
      <c r="L55" s="4"/>
      <c r="M55" s="4"/>
    </row>
    <row r="58" spans="1:13" x14ac:dyDescent="0.25">
      <c r="B58" t="s">
        <v>1874</v>
      </c>
      <c r="D58">
        <f>+C42</f>
        <v>266439</v>
      </c>
      <c r="E58" t="s">
        <v>1877</v>
      </c>
    </row>
    <row r="60" spans="1:13" x14ac:dyDescent="0.25">
      <c r="C60" t="s">
        <v>1875</v>
      </c>
      <c r="D60" t="e">
        <f>+'661 440 WPCF'!#REF!</f>
        <v>#REF!</v>
      </c>
      <c r="E60" s="369" t="e">
        <f>ROUND((+D58/D60),4)</f>
        <v>#REF!</v>
      </c>
    </row>
    <row r="61" spans="1:13" x14ac:dyDescent="0.25">
      <c r="C61" t="s">
        <v>1876</v>
      </c>
      <c r="D61" t="e">
        <f>+'661 440 WPCF'!#REF!+'661 449 Hwy'!O27+'661 700 WPCF Debt'!O61+'661 910 WPCF Benefits'!O18</f>
        <v>#REF!</v>
      </c>
      <c r="E61" s="369" t="e">
        <f>ROUND((+D58/D61),4)</f>
        <v>#REF!</v>
      </c>
    </row>
  </sheetData>
  <pageMargins left="0.7" right="0.7" top="0.75" bottom="0.75" header="0.3" footer="0.3"/>
  <pageSetup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Y319"/>
  <sheetViews>
    <sheetView zoomScale="75" zoomScaleNormal="75" workbookViewId="0">
      <pane xSplit="9" ySplit="3" topLeftCell="L4" activePane="bottomRight" state="frozen"/>
      <selection activeCell="C81" activeCellId="2" sqref="A11 K81 C81"/>
      <selection pane="topRight" activeCell="C81" activeCellId="2" sqref="A11 K81 C81"/>
      <selection pane="bottomLeft" activeCell="C81" activeCellId="2" sqref="A11 K81 C81"/>
      <selection pane="bottomRight" activeCell="S1" sqref="S1:T1048576"/>
    </sheetView>
  </sheetViews>
  <sheetFormatPr defaultRowHeight="15" x14ac:dyDescent="0.25"/>
  <cols>
    <col min="1" max="1" width="8" style="957" customWidth="1"/>
    <col min="2" max="2" width="47.109375" style="769" customWidth="1"/>
    <col min="3" max="8" width="16.44140625" style="769" hidden="1" customWidth="1"/>
    <col min="9" max="10" width="19.109375" style="769" hidden="1" customWidth="1"/>
    <col min="11" max="11" width="19.109375" style="796" hidden="1" customWidth="1"/>
    <col min="12" max="12" width="19.109375" style="796" customWidth="1"/>
    <col min="13" max="13" width="19.109375" style="773" customWidth="1"/>
    <col min="14" max="14" width="19.109375" style="774" customWidth="1"/>
    <col min="15" max="15" width="17" style="774" customWidth="1"/>
    <col min="16" max="16" width="14.33203125" style="773" customWidth="1"/>
    <col min="17" max="17" width="13.77734375" style="773" customWidth="1"/>
    <col min="18" max="18" width="15.109375" style="773" customWidth="1"/>
    <col min="19" max="19" width="17" style="773" hidden="1" customWidth="1"/>
    <col min="20" max="20" width="13.77734375" style="773" hidden="1" customWidth="1"/>
    <col min="21" max="21" width="16" style="773" customWidth="1"/>
    <col min="22" max="22" width="12.77734375" style="773" customWidth="1"/>
    <col min="23" max="23" width="9.33203125" style="765"/>
    <col min="24" max="24" width="11.6640625" bestFit="1" customWidth="1"/>
  </cols>
  <sheetData>
    <row r="1" spans="1:22" x14ac:dyDescent="0.25">
      <c r="A1" s="956" t="s">
        <v>1348</v>
      </c>
      <c r="B1" s="769" t="s">
        <v>1342</v>
      </c>
      <c r="C1" s="770" t="s">
        <v>336</v>
      </c>
      <c r="D1" s="770" t="s">
        <v>77</v>
      </c>
      <c r="E1" s="770" t="s">
        <v>1156</v>
      </c>
      <c r="F1" s="770" t="s">
        <v>789</v>
      </c>
      <c r="G1" s="770" t="s">
        <v>889</v>
      </c>
      <c r="H1" s="770" t="s">
        <v>905</v>
      </c>
      <c r="I1" s="770" t="s">
        <v>906</v>
      </c>
      <c r="J1" s="771" t="s">
        <v>907</v>
      </c>
      <c r="K1" s="795" t="s">
        <v>908</v>
      </c>
      <c r="L1" s="795" t="s">
        <v>909</v>
      </c>
      <c r="M1" s="771" t="s">
        <v>910</v>
      </c>
      <c r="N1" s="771" t="s">
        <v>910</v>
      </c>
      <c r="O1" s="772" t="s">
        <v>550</v>
      </c>
      <c r="P1" s="771"/>
      <c r="Q1" s="772"/>
      <c r="R1" s="772" t="s">
        <v>867</v>
      </c>
      <c r="T1" s="772"/>
      <c r="U1" s="772"/>
      <c r="V1" s="774"/>
    </row>
    <row r="2" spans="1:22" x14ac:dyDescent="0.25">
      <c r="B2" s="773">
        <f>+N133</f>
        <v>26736368</v>
      </c>
      <c r="C2" s="770" t="s">
        <v>127</v>
      </c>
      <c r="D2" s="770" t="s">
        <v>127</v>
      </c>
      <c r="E2" s="770" t="s">
        <v>127</v>
      </c>
      <c r="F2" s="770" t="s">
        <v>127</v>
      </c>
      <c r="G2" s="770" t="s">
        <v>127</v>
      </c>
      <c r="H2" s="770" t="s">
        <v>127</v>
      </c>
      <c r="I2" s="770" t="s">
        <v>127</v>
      </c>
      <c r="J2" s="770" t="s">
        <v>127</v>
      </c>
      <c r="K2" s="795" t="s">
        <v>547</v>
      </c>
      <c r="L2" s="795" t="s">
        <v>547</v>
      </c>
      <c r="M2" s="771" t="s">
        <v>473</v>
      </c>
      <c r="N2" s="772" t="s">
        <v>177</v>
      </c>
      <c r="O2" s="772" t="s">
        <v>551</v>
      </c>
      <c r="P2" s="771" t="s">
        <v>433</v>
      </c>
      <c r="Q2" s="772" t="s">
        <v>552</v>
      </c>
      <c r="R2" s="772" t="s">
        <v>471</v>
      </c>
      <c r="S2" s="772" t="s">
        <v>1569</v>
      </c>
      <c r="T2" s="772" t="s">
        <v>334</v>
      </c>
      <c r="U2" s="772" t="s">
        <v>195</v>
      </c>
      <c r="V2" s="771" t="s">
        <v>247</v>
      </c>
    </row>
    <row r="3" spans="1:22" x14ac:dyDescent="0.25">
      <c r="M3" s="774" t="s">
        <v>501</v>
      </c>
      <c r="N3" s="773"/>
      <c r="O3" s="772"/>
      <c r="P3" s="771"/>
      <c r="Q3" s="772" t="s">
        <v>553</v>
      </c>
      <c r="R3" s="772" t="s">
        <v>553</v>
      </c>
      <c r="S3" s="772" t="s">
        <v>471</v>
      </c>
      <c r="T3" s="772" t="s">
        <v>471</v>
      </c>
      <c r="U3" s="772" t="s">
        <v>423</v>
      </c>
      <c r="V3" s="771" t="s">
        <v>423</v>
      </c>
    </row>
    <row r="4" spans="1:22" x14ac:dyDescent="0.25">
      <c r="M4" s="771"/>
      <c r="N4" s="772"/>
      <c r="O4" s="773"/>
      <c r="P4" s="774"/>
      <c r="S4" s="772"/>
      <c r="V4" s="774"/>
    </row>
    <row r="5" spans="1:22" x14ac:dyDescent="0.25">
      <c r="B5" s="768" t="s">
        <v>115</v>
      </c>
      <c r="C5" s="768"/>
      <c r="D5" s="768"/>
      <c r="E5" s="768"/>
      <c r="F5" s="768"/>
      <c r="G5" s="768"/>
      <c r="H5" s="768"/>
      <c r="I5" s="768"/>
      <c r="J5" s="768"/>
      <c r="K5" s="797"/>
      <c r="L5" s="797"/>
      <c r="M5" s="774"/>
      <c r="N5" s="773"/>
      <c r="O5" s="773"/>
      <c r="P5" s="774"/>
      <c r="V5" s="774"/>
    </row>
    <row r="6" spans="1:22" x14ac:dyDescent="0.25">
      <c r="B6" s="769" t="s">
        <v>116</v>
      </c>
      <c r="C6" s="774">
        <f>+'Revenue Projections Detail'!B16</f>
        <v>13501567</v>
      </c>
      <c r="D6" s="774">
        <f>+'Revenue Projections Detail'!C16</f>
        <v>14007061</v>
      </c>
      <c r="E6" s="774">
        <f>+'Revenue Projections Detail'!D16</f>
        <v>14424463</v>
      </c>
      <c r="F6" s="774">
        <f>+'Revenue Projections Detail'!E16</f>
        <v>14913142</v>
      </c>
      <c r="G6" s="774">
        <f>+'Revenue Projections Detail'!F16</f>
        <v>15498658</v>
      </c>
      <c r="H6" s="774">
        <f>+'Revenue Projections Detail'!G16</f>
        <v>16526913.970000001</v>
      </c>
      <c r="I6" s="774">
        <f>+'Revenue Projections Detail'!H16</f>
        <v>17512031</v>
      </c>
      <c r="J6" s="774">
        <f>+'Revenue Projections Detail'!I16</f>
        <v>18669482</v>
      </c>
      <c r="K6" s="796">
        <f>+'Revenue Projections Detail'!J16</f>
        <v>19543645</v>
      </c>
      <c r="L6" s="796">
        <f>+'Revenue Projections Detail'!K16</f>
        <v>20136531</v>
      </c>
      <c r="M6" s="774">
        <f>+'Revenue Projections Detail'!L16</f>
        <v>20877815.670000002</v>
      </c>
      <c r="N6" s="773">
        <f t="shared" ref="N6:O8" si="0">+M6</f>
        <v>20877815.670000002</v>
      </c>
      <c r="O6" s="773">
        <f t="shared" si="0"/>
        <v>20877815.670000002</v>
      </c>
      <c r="P6" s="774"/>
      <c r="V6" s="774"/>
    </row>
    <row r="7" spans="1:22" x14ac:dyDescent="0.25">
      <c r="B7" s="769" t="s">
        <v>117</v>
      </c>
      <c r="C7" s="774">
        <f>+'Revenue Projections Detail'!B28</f>
        <v>1372617</v>
      </c>
      <c r="D7" s="774">
        <f>+'Revenue Projections Detail'!C28</f>
        <v>1417661</v>
      </c>
      <c r="E7" s="774">
        <f>+'Revenue Projections Detail'!D28</f>
        <v>1527291</v>
      </c>
      <c r="F7" s="774">
        <f>+'Revenue Projections Detail'!E28</f>
        <v>1542491</v>
      </c>
      <c r="G7" s="774">
        <f>+'Revenue Projections Detail'!F28</f>
        <v>1584712</v>
      </c>
      <c r="H7" s="774">
        <f>+'Revenue Projections Detail'!G28</f>
        <v>1613506</v>
      </c>
      <c r="I7" s="774">
        <f>+'Revenue Projections Detail'!H28</f>
        <v>1675209</v>
      </c>
      <c r="J7" s="774">
        <f>+'Revenue Projections Detail'!I28</f>
        <v>1791832</v>
      </c>
      <c r="K7" s="796">
        <f>+'Revenue Projections Detail'!J28</f>
        <v>1762479</v>
      </c>
      <c r="L7" s="796">
        <f>+'Revenue Projections Detail'!K28</f>
        <v>1824995</v>
      </c>
      <c r="M7" s="774">
        <f>+'Revenue Projections Detail'!L28</f>
        <v>1879826</v>
      </c>
      <c r="N7" s="773">
        <f t="shared" si="0"/>
        <v>1879826</v>
      </c>
      <c r="O7" s="773">
        <f t="shared" si="0"/>
        <v>1879826</v>
      </c>
      <c r="P7" s="774"/>
      <c r="V7" s="774"/>
    </row>
    <row r="8" spans="1:22" x14ac:dyDescent="0.25">
      <c r="B8" s="769" t="s">
        <v>118</v>
      </c>
      <c r="C8" s="774">
        <f>+'Revenue Projections Detail'!B54</f>
        <v>0</v>
      </c>
      <c r="D8" s="774">
        <f>+'Revenue Projections Detail'!C54</f>
        <v>0</v>
      </c>
      <c r="E8" s="774">
        <f>+'Revenue Projections Detail'!D54</f>
        <v>0</v>
      </c>
      <c r="F8" s="774">
        <f>+'Revenue Projections Detail'!E54</f>
        <v>0</v>
      </c>
      <c r="G8" s="774">
        <f>+'Revenue Projections Detail'!F54</f>
        <v>0</v>
      </c>
      <c r="H8" s="774">
        <f>+'Revenue Projections Detail'!G54</f>
        <v>1784386</v>
      </c>
      <c r="I8" s="774">
        <f>+'Revenue Projections Detail'!H54</f>
        <v>1923249</v>
      </c>
      <c r="J8" s="774">
        <f>+'Revenue Projections Detail'!I54</f>
        <v>1891410</v>
      </c>
      <c r="K8" s="796">
        <f>+'Revenue Projections Detail'!J54</f>
        <v>1970227</v>
      </c>
      <c r="L8" s="796">
        <f>+'Revenue Projections Detail'!K54</f>
        <v>1614837</v>
      </c>
      <c r="M8" s="774">
        <f>+'Revenue Projections Detail'!L54</f>
        <v>1809276</v>
      </c>
      <c r="N8" s="773">
        <f t="shared" si="0"/>
        <v>1809276</v>
      </c>
      <c r="O8" s="773">
        <f t="shared" si="0"/>
        <v>1809276</v>
      </c>
      <c r="P8" s="774"/>
      <c r="V8" s="774"/>
    </row>
    <row r="9" spans="1:22" x14ac:dyDescent="0.25">
      <c r="B9" s="769" t="s">
        <v>119</v>
      </c>
      <c r="C9" s="774">
        <f>+'Revenue Projections Detail'!B75</f>
        <v>250000</v>
      </c>
      <c r="D9" s="774">
        <f>+'Revenue Projections Detail'!C75</f>
        <v>250000</v>
      </c>
      <c r="E9" s="774">
        <f>+'Revenue Projections Detail'!D75</f>
        <v>250000</v>
      </c>
      <c r="F9" s="774">
        <f>+'Revenue Projections Detail'!E75</f>
        <v>250000</v>
      </c>
      <c r="G9" s="774">
        <f>+'Revenue Projections Detail'!F75</f>
        <v>250000</v>
      </c>
      <c r="H9" s="774">
        <f>+'Revenue Projections Detail'!G75</f>
        <v>200000</v>
      </c>
      <c r="I9" s="774">
        <f>+'Revenue Projections Detail'!H75</f>
        <v>150000</v>
      </c>
      <c r="J9" s="774">
        <f>+'Revenue Projections Detail'!I75</f>
        <v>100000</v>
      </c>
      <c r="K9" s="796">
        <f>+'Revenue Projections Detail'!J75</f>
        <v>0</v>
      </c>
      <c r="L9" s="796">
        <f>+'Revenue Projections Detail'!K75</f>
        <v>0</v>
      </c>
      <c r="M9" s="774">
        <f>+'Revenue Projections Detail'!L75</f>
        <v>0</v>
      </c>
      <c r="N9" s="773">
        <f t="shared" ref="N9:N27" si="1">+M9</f>
        <v>0</v>
      </c>
      <c r="O9" s="773"/>
      <c r="P9" s="774">
        <f>+N9</f>
        <v>0</v>
      </c>
      <c r="V9" s="774"/>
    </row>
    <row r="10" spans="1:22" x14ac:dyDescent="0.25">
      <c r="B10" s="769" t="s">
        <v>120</v>
      </c>
      <c r="C10" s="774"/>
      <c r="D10" s="774"/>
      <c r="E10" s="774"/>
      <c r="F10" s="774"/>
      <c r="G10" s="774"/>
      <c r="H10" s="774"/>
      <c r="I10" s="774"/>
      <c r="J10" s="774"/>
      <c r="M10" s="774"/>
      <c r="N10" s="773">
        <f t="shared" si="1"/>
        <v>0</v>
      </c>
      <c r="O10" s="773"/>
      <c r="P10" s="774"/>
      <c r="V10" s="774"/>
    </row>
    <row r="11" spans="1:22" x14ac:dyDescent="0.25">
      <c r="B11" s="769" t="s">
        <v>1057</v>
      </c>
      <c r="C11" s="774">
        <f>+'Revenue Projections Detail'!B58</f>
        <v>0</v>
      </c>
      <c r="D11" s="774">
        <f>+'Revenue Projections Detail'!C58</f>
        <v>0</v>
      </c>
      <c r="E11" s="774">
        <f>+'Revenue Projections Detail'!D58</f>
        <v>0</v>
      </c>
      <c r="F11" s="774">
        <f>+'Revenue Projections Detail'!E58</f>
        <v>0</v>
      </c>
      <c r="G11" s="774">
        <f>+'Revenue Projections Detail'!F58</f>
        <v>0</v>
      </c>
      <c r="H11" s="774">
        <f>+'Revenue Projections Detail'!G58</f>
        <v>22850</v>
      </c>
      <c r="I11" s="774">
        <f>+'Revenue Projections Detail'!H58</f>
        <v>0</v>
      </c>
      <c r="J11" s="774">
        <f>+'Revenue Projections Detail'!I58</f>
        <v>0</v>
      </c>
      <c r="K11" s="796">
        <f>+'Revenue Projections Detail'!J58</f>
        <v>0</v>
      </c>
      <c r="L11" s="796">
        <f>+'Revenue Projections Detail'!K58</f>
        <v>0</v>
      </c>
      <c r="M11" s="774">
        <f>+'Revenue Projections Detail'!L58</f>
        <v>0</v>
      </c>
      <c r="N11" s="773">
        <f t="shared" si="1"/>
        <v>0</v>
      </c>
      <c r="O11" s="773"/>
      <c r="P11" s="774"/>
      <c r="Q11" s="773">
        <f>+N11</f>
        <v>0</v>
      </c>
      <c r="V11" s="774"/>
    </row>
    <row r="12" spans="1:22" x14ac:dyDescent="0.25">
      <c r="B12" s="769" t="s">
        <v>1332</v>
      </c>
      <c r="C12" s="774"/>
      <c r="D12" s="774"/>
      <c r="E12" s="774"/>
      <c r="F12" s="774"/>
      <c r="G12" s="774"/>
      <c r="H12" s="774"/>
      <c r="I12" s="774"/>
      <c r="J12" s="774"/>
      <c r="L12" s="796">
        <f>+'Revenue Projections Detail'!K64</f>
        <v>60</v>
      </c>
      <c r="M12" s="774">
        <f>+'Revenue Projections Detail'!L64</f>
        <v>13</v>
      </c>
      <c r="N12" s="773">
        <f t="shared" si="1"/>
        <v>13</v>
      </c>
      <c r="O12" s="773"/>
      <c r="P12" s="774"/>
      <c r="Q12" s="773">
        <f>+N12</f>
        <v>13</v>
      </c>
      <c r="V12" s="774"/>
    </row>
    <row r="13" spans="1:22" x14ac:dyDescent="0.25">
      <c r="B13" s="769" t="s">
        <v>1390</v>
      </c>
      <c r="C13" s="774"/>
      <c r="D13" s="774"/>
      <c r="E13" s="774"/>
      <c r="F13" s="774"/>
      <c r="G13" s="774"/>
      <c r="H13" s="774"/>
      <c r="I13" s="774"/>
      <c r="J13" s="774"/>
      <c r="M13" s="773">
        <f>+'Revenue Projections Detail'!L65</f>
        <v>0</v>
      </c>
      <c r="N13" s="774">
        <f t="shared" si="1"/>
        <v>0</v>
      </c>
      <c r="O13" s="773"/>
      <c r="P13" s="774"/>
      <c r="Q13" s="773">
        <f>+M13</f>
        <v>0</v>
      </c>
      <c r="V13" s="774"/>
    </row>
    <row r="14" spans="1:22" x14ac:dyDescent="0.25">
      <c r="B14" s="769" t="s">
        <v>1333</v>
      </c>
      <c r="C14" s="774">
        <f>+'Revenue Projections Detail'!B70</f>
        <v>89400</v>
      </c>
      <c r="D14" s="774">
        <f>+'Revenue Projections Detail'!C70</f>
        <v>94215.84</v>
      </c>
      <c r="E14" s="774">
        <f>+'Revenue Projections Detail'!D70</f>
        <v>84573.5</v>
      </c>
      <c r="F14" s="774">
        <f>+'Revenue Projections Detail'!E70</f>
        <v>80350</v>
      </c>
      <c r="G14" s="774">
        <f>+'Revenue Projections Detail'!F70</f>
        <v>102150</v>
      </c>
      <c r="H14" s="774">
        <f>+'Revenue Projections Detail'!G70</f>
        <v>97525</v>
      </c>
      <c r="I14" s="774">
        <f>+'Revenue Projections Detail'!H70</f>
        <v>234573.5</v>
      </c>
      <c r="J14" s="774">
        <f>+'Revenue Projections Detail'!I70</f>
        <v>95400</v>
      </c>
      <c r="K14" s="796">
        <f>+'Revenue Projections Detail'!J70</f>
        <v>79750</v>
      </c>
      <c r="L14" s="796">
        <f>+'Revenue Projections Detail'!K70</f>
        <v>78950</v>
      </c>
      <c r="M14" s="774">
        <f>+'Revenue Projections Detail'!L70</f>
        <v>49950</v>
      </c>
      <c r="N14" s="773">
        <f t="shared" si="1"/>
        <v>49950</v>
      </c>
      <c r="O14" s="773"/>
      <c r="P14" s="774"/>
      <c r="Q14" s="773">
        <f>+N14</f>
        <v>49950</v>
      </c>
      <c r="V14" s="774"/>
    </row>
    <row r="15" spans="1:22" x14ac:dyDescent="0.25">
      <c r="B15" s="769" t="s">
        <v>513</v>
      </c>
      <c r="C15" s="774">
        <f>+'Revenue Projections Detail'!B74</f>
        <v>0</v>
      </c>
      <c r="D15" s="774">
        <f>+'Revenue Projections Detail'!C74</f>
        <v>0</v>
      </c>
      <c r="E15" s="774">
        <f>+'Revenue Projections Detail'!D74</f>
        <v>0</v>
      </c>
      <c r="F15" s="774">
        <f>+'Revenue Projections Detail'!E74</f>
        <v>0</v>
      </c>
      <c r="G15" s="774">
        <f>+'Revenue Projections Detail'!F74</f>
        <v>0</v>
      </c>
      <c r="H15" s="774">
        <f>+'Revenue Projections Detail'!G74</f>
        <v>201000</v>
      </c>
      <c r="I15" s="774">
        <f>+'Revenue Projections Detail'!H74</f>
        <v>194000</v>
      </c>
      <c r="J15" s="774">
        <f>+'Revenue Projections Detail'!I74</f>
        <v>370044</v>
      </c>
      <c r="K15" s="796">
        <f>+'Revenue Projections Detail'!J74</f>
        <v>571743</v>
      </c>
      <c r="L15" s="796">
        <f>+'Revenue Projections Detail'!K74</f>
        <v>283200</v>
      </c>
      <c r="M15" s="774">
        <f>+'Revenue Projections Detail'!L74</f>
        <v>251242</v>
      </c>
      <c r="N15" s="773">
        <f t="shared" si="1"/>
        <v>251242</v>
      </c>
      <c r="O15" s="773"/>
      <c r="P15" s="774">
        <f>+N15</f>
        <v>251242</v>
      </c>
      <c r="V15" s="774"/>
    </row>
    <row r="16" spans="1:22" x14ac:dyDescent="0.25">
      <c r="B16" s="769" t="s">
        <v>1471</v>
      </c>
      <c r="C16" s="774"/>
      <c r="D16" s="774"/>
      <c r="E16" s="774"/>
      <c r="F16" s="774"/>
      <c r="G16" s="774"/>
      <c r="H16" s="774"/>
      <c r="I16" s="774"/>
      <c r="J16" s="774"/>
      <c r="L16" s="796">
        <f>+'Revenue Projections Detail'!L59</f>
        <v>225000</v>
      </c>
      <c r="M16" s="774">
        <f>+'Revenue Projections Detail'!L59</f>
        <v>225000</v>
      </c>
      <c r="N16" s="773">
        <f t="shared" si="1"/>
        <v>225000</v>
      </c>
      <c r="O16" s="773"/>
      <c r="P16" s="774"/>
      <c r="R16" s="773">
        <f>+M16</f>
        <v>225000</v>
      </c>
      <c r="V16" s="774"/>
    </row>
    <row r="17" spans="1:24" x14ac:dyDescent="0.25">
      <c r="B17" s="769" t="s">
        <v>666</v>
      </c>
      <c r="C17" s="774">
        <f>+'Revenue Projections Detail'!B66+'Revenue Projections Detail'!B67</f>
        <v>166182</v>
      </c>
      <c r="D17" s="774">
        <f>+'Revenue Projections Detail'!C66+'Revenue Projections Detail'!C67</f>
        <v>274055</v>
      </c>
      <c r="E17" s="774">
        <f>+'Revenue Projections Detail'!D66+'Revenue Projections Detail'!D67</f>
        <v>113000</v>
      </c>
      <c r="F17" s="774">
        <f>+'Revenue Projections Detail'!E66+'Revenue Projections Detail'!E67</f>
        <v>136000</v>
      </c>
      <c r="G17" s="774">
        <f>+'Revenue Projections Detail'!F66+'Revenue Projections Detail'!F67</f>
        <v>225000</v>
      </c>
      <c r="H17" s="774">
        <f>+'Revenue Projections Detail'!G66+'Revenue Projections Detail'!G67</f>
        <v>0</v>
      </c>
      <c r="I17" s="774">
        <f>+'Revenue Projections Detail'!H66+'Revenue Projections Detail'!H67</f>
        <v>0</v>
      </c>
      <c r="J17" s="774">
        <f>+'Revenue Projections Detail'!I66+'Revenue Projections Detail'!I67</f>
        <v>0</v>
      </c>
      <c r="K17" s="796">
        <f>+'Revenue Projections Detail'!J66+'Revenue Projections Detail'!J67</f>
        <v>0</v>
      </c>
      <c r="L17" s="796">
        <f>+'Revenue Projections Detail'!K66+'Revenue Projections Detail'!K67</f>
        <v>0</v>
      </c>
      <c r="M17" s="774">
        <f>+'Revenue Projections Detail'!L66+'Revenue Projections Detail'!L67+'Revenue Projections Detail'!L68</f>
        <v>0</v>
      </c>
      <c r="N17" s="773">
        <f t="shared" si="1"/>
        <v>0</v>
      </c>
      <c r="O17" s="773"/>
      <c r="P17" s="774"/>
      <c r="R17" s="773">
        <f>+N17</f>
        <v>0</v>
      </c>
      <c r="V17" s="774"/>
    </row>
    <row r="18" spans="1:24" x14ac:dyDescent="0.25">
      <c r="B18" s="769" t="s">
        <v>730</v>
      </c>
      <c r="C18" s="774">
        <f>+'Revenue Projections Detail'!B62</f>
        <v>24000</v>
      </c>
      <c r="D18" s="774">
        <f>+'Revenue Projections Detail'!C62</f>
        <v>0</v>
      </c>
      <c r="E18" s="774">
        <f>+'Revenue Projections Detail'!D62</f>
        <v>0</v>
      </c>
      <c r="F18" s="774">
        <f>+'Revenue Projections Detail'!E62</f>
        <v>0</v>
      </c>
      <c r="G18" s="774">
        <f>+'Revenue Projections Detail'!F62</f>
        <v>0</v>
      </c>
      <c r="H18" s="774">
        <f>+'Revenue Projections Detail'!G62</f>
        <v>0</v>
      </c>
      <c r="I18" s="774">
        <f>+'Revenue Projections Detail'!H62</f>
        <v>53465</v>
      </c>
      <c r="J18" s="774">
        <f>+'Revenue Projections Detail'!I62</f>
        <v>0</v>
      </c>
      <c r="K18" s="796">
        <f>+'Revenue Projections Detail'!J62</f>
        <v>0</v>
      </c>
      <c r="L18" s="796">
        <f>+'Revenue Projections Detail'!K62</f>
        <v>27262</v>
      </c>
      <c r="M18" s="774">
        <f>+'Revenue Projections Detail'!L62</f>
        <v>0</v>
      </c>
      <c r="N18" s="777">
        <f t="shared" si="1"/>
        <v>0</v>
      </c>
      <c r="O18" s="773"/>
      <c r="P18" s="774"/>
      <c r="V18" s="774"/>
    </row>
    <row r="19" spans="1:24" x14ac:dyDescent="0.25">
      <c r="B19" s="769" t="s">
        <v>1570</v>
      </c>
      <c r="C19" s="774"/>
      <c r="D19" s="774"/>
      <c r="E19" s="774"/>
      <c r="F19" s="774"/>
      <c r="G19" s="774"/>
      <c r="H19" s="774"/>
      <c r="I19" s="774"/>
      <c r="J19" s="774"/>
      <c r="L19" s="796">
        <f>+'Revenue Projections Detail'!K61</f>
        <v>56511</v>
      </c>
      <c r="M19" s="774">
        <f>+'Revenue Projections Detail'!L61</f>
        <v>0</v>
      </c>
      <c r="N19" s="777">
        <f t="shared" si="1"/>
        <v>0</v>
      </c>
      <c r="O19" s="773"/>
      <c r="P19" s="774"/>
      <c r="T19" s="773">
        <f>+M19</f>
        <v>0</v>
      </c>
      <c r="V19" s="774"/>
    </row>
    <row r="20" spans="1:24" x14ac:dyDescent="0.25">
      <c r="B20" s="769" t="s">
        <v>1684</v>
      </c>
      <c r="C20" s="774"/>
      <c r="D20" s="774"/>
      <c r="E20" s="774"/>
      <c r="F20" s="774"/>
      <c r="G20" s="774"/>
      <c r="H20" s="774"/>
      <c r="I20" s="774"/>
      <c r="J20" s="774"/>
      <c r="M20" s="774">
        <f>+'Revenue Projections Detail'!L60</f>
        <v>130000</v>
      </c>
      <c r="N20" s="777">
        <f t="shared" si="1"/>
        <v>130000</v>
      </c>
      <c r="O20" s="773"/>
      <c r="P20" s="774"/>
      <c r="U20" s="773">
        <f>+N20</f>
        <v>130000</v>
      </c>
      <c r="V20" s="774"/>
    </row>
    <row r="21" spans="1:24" s="120" customFormat="1" x14ac:dyDescent="0.25">
      <c r="A21" s="959"/>
      <c r="B21" s="779" t="s">
        <v>1571</v>
      </c>
      <c r="C21" s="778"/>
      <c r="D21" s="778"/>
      <c r="E21" s="778"/>
      <c r="F21" s="778"/>
      <c r="G21" s="778"/>
      <c r="H21" s="778"/>
      <c r="I21" s="778"/>
      <c r="J21" s="778"/>
      <c r="K21" s="799"/>
      <c r="L21" s="799">
        <f>+'Revenue Projections Detail'!K63</f>
        <v>120050</v>
      </c>
      <c r="M21" s="778">
        <f>+'Revenue Projections Detail'!L63</f>
        <v>238800</v>
      </c>
      <c r="N21" s="777">
        <f t="shared" si="1"/>
        <v>238800</v>
      </c>
      <c r="O21" s="777"/>
      <c r="P21" s="778"/>
      <c r="Q21" s="777">
        <f>+M21</f>
        <v>238800</v>
      </c>
      <c r="R21" s="777"/>
      <c r="S21" s="777"/>
      <c r="T21" s="777"/>
      <c r="U21" s="777"/>
      <c r="V21" s="778"/>
      <c r="W21" s="766"/>
    </row>
    <row r="22" spans="1:24" x14ac:dyDescent="0.25">
      <c r="B22" s="769" t="s">
        <v>558</v>
      </c>
      <c r="C22" s="774"/>
      <c r="D22" s="774"/>
      <c r="E22" s="774"/>
      <c r="F22" s="774"/>
      <c r="G22" s="774"/>
      <c r="H22" s="774"/>
      <c r="I22" s="774"/>
      <c r="J22" s="774"/>
      <c r="M22" s="774"/>
      <c r="N22" s="773">
        <f t="shared" si="1"/>
        <v>0</v>
      </c>
      <c r="O22" s="773"/>
      <c r="P22" s="774"/>
      <c r="V22" s="774"/>
    </row>
    <row r="23" spans="1:24" x14ac:dyDescent="0.25">
      <c r="B23" s="779" t="s">
        <v>986</v>
      </c>
      <c r="C23" s="778">
        <f>+'Revenue Projections Detail'!B82</f>
        <v>160000</v>
      </c>
      <c r="D23" s="778">
        <f>+'Revenue Projections Detail'!C82</f>
        <v>0</v>
      </c>
      <c r="E23" s="778">
        <f>+'Revenue Projections Detail'!D82</f>
        <v>400000</v>
      </c>
      <c r="F23" s="778">
        <f>+'Revenue Projections Detail'!E82</f>
        <v>1661764</v>
      </c>
      <c r="G23" s="778" t="e">
        <f>+'Revenue Projections Detail'!F82</f>
        <v>#REF!</v>
      </c>
      <c r="H23" s="778">
        <f>+'Revenue Projections Detail'!G82</f>
        <v>0</v>
      </c>
      <c r="I23" s="778">
        <f>+'Revenue Projections Detail'!H82</f>
        <v>0</v>
      </c>
      <c r="J23" s="778">
        <f>+'Revenue Projections Detail'!I82</f>
        <v>0</v>
      </c>
      <c r="K23" s="799">
        <f>+'Revenue Projections Detail'!J82</f>
        <v>0</v>
      </c>
      <c r="L23" s="799">
        <f>+'Revenue Projections Detail'!K82</f>
        <v>0</v>
      </c>
      <c r="M23" s="778">
        <f>+'Revenue Projections Detail'!L82</f>
        <v>0</v>
      </c>
      <c r="N23" s="777">
        <f t="shared" si="1"/>
        <v>0</v>
      </c>
      <c r="O23" s="777"/>
      <c r="P23" s="778"/>
      <c r="Q23" s="777"/>
      <c r="R23" s="777"/>
      <c r="S23" s="777">
        <f>+N23</f>
        <v>0</v>
      </c>
      <c r="T23" s="777"/>
      <c r="U23" s="777"/>
      <c r="V23" s="774"/>
    </row>
    <row r="24" spans="1:24" x14ac:dyDescent="0.25">
      <c r="B24" s="779" t="s">
        <v>1564</v>
      </c>
      <c r="C24" s="778">
        <f>+'Revenue Projections Detail'!B83</f>
        <v>0</v>
      </c>
      <c r="D24" s="778">
        <f>+'Revenue Projections Detail'!C83</f>
        <v>0</v>
      </c>
      <c r="E24" s="778">
        <f>+'Revenue Projections Detail'!D83</f>
        <v>0</v>
      </c>
      <c r="F24" s="778">
        <f>+'Revenue Projections Detail'!E83</f>
        <v>385000</v>
      </c>
      <c r="G24" s="778" t="e">
        <f>+'Revenue Projections Detail'!F83</f>
        <v>#REF!</v>
      </c>
      <c r="H24" s="778">
        <f>+'Revenue Projections Detail'!G83</f>
        <v>385000</v>
      </c>
      <c r="I24" s="778">
        <f>+'Revenue Projections Detail'!H83</f>
        <v>521000</v>
      </c>
      <c r="J24" s="778">
        <f>+'Revenue Projections Detail'!I83</f>
        <v>0</v>
      </c>
      <c r="K24" s="799">
        <f>+'Revenue Projections Detail'!J83</f>
        <v>0</v>
      </c>
      <c r="L24" s="799">
        <f>+'Revenue Projections Detail'!K83</f>
        <v>0</v>
      </c>
      <c r="M24" s="778">
        <f>+'Revenue Projections Detail'!L83</f>
        <v>0</v>
      </c>
      <c r="N24" s="777">
        <f t="shared" si="1"/>
        <v>0</v>
      </c>
      <c r="O24" s="777"/>
      <c r="P24" s="778"/>
      <c r="Q24" s="777"/>
      <c r="R24" s="777"/>
      <c r="S24" s="777"/>
      <c r="U24" s="777">
        <f>+N24</f>
        <v>0</v>
      </c>
      <c r="V24" s="774"/>
    </row>
    <row r="25" spans="1:24" x14ac:dyDescent="0.25">
      <c r="B25" s="779" t="s">
        <v>1565</v>
      </c>
      <c r="C25" s="778"/>
      <c r="D25" s="778"/>
      <c r="E25" s="778"/>
      <c r="F25" s="778"/>
      <c r="G25" s="778"/>
      <c r="H25" s="778"/>
      <c r="I25" s="778"/>
      <c r="J25" s="778"/>
      <c r="K25" s="799"/>
      <c r="L25" s="799">
        <f>+'Revenue Projections Detail'!L87</f>
        <v>0</v>
      </c>
      <c r="M25" s="778">
        <f>+'Revenue Projections Detail'!L87</f>
        <v>0</v>
      </c>
      <c r="N25" s="777">
        <f t="shared" si="1"/>
        <v>0</v>
      </c>
      <c r="O25" s="777"/>
      <c r="P25" s="778"/>
      <c r="Q25" s="777"/>
      <c r="R25" s="777"/>
      <c r="S25" s="777"/>
      <c r="T25" s="777"/>
      <c r="U25" s="777">
        <f>+N25</f>
        <v>0</v>
      </c>
      <c r="V25" s="774"/>
    </row>
    <row r="26" spans="1:24" x14ac:dyDescent="0.25">
      <c r="B26" s="769" t="s">
        <v>1566</v>
      </c>
      <c r="C26" s="774">
        <f>+'Revenue Projections Detail'!B86</f>
        <v>1693865</v>
      </c>
      <c r="D26" s="774">
        <f>+'Revenue Projections Detail'!C86</f>
        <v>1866887</v>
      </c>
      <c r="E26" s="774">
        <f>+'Revenue Projections Detail'!D86</f>
        <v>1687525</v>
      </c>
      <c r="F26" s="774">
        <f>+'Revenue Projections Detail'!E86</f>
        <v>1913646</v>
      </c>
      <c r="G26" s="774">
        <f>+'Revenue Projections Detail'!F86</f>
        <v>2250472</v>
      </c>
      <c r="H26" s="774">
        <f>+'Revenue Projections Detail'!G86</f>
        <v>2627714</v>
      </c>
      <c r="I26" s="774">
        <f>+'Revenue Projections Detail'!H86</f>
        <v>2241379</v>
      </c>
      <c r="J26" s="774">
        <v>2320727</v>
      </c>
      <c r="K26" s="796">
        <f>+'Revenue Projections Detail'!J86</f>
        <v>2404070</v>
      </c>
      <c r="L26" s="796">
        <f>+'Revenue Projections Detail'!K86</f>
        <v>2335742</v>
      </c>
      <c r="M26" s="774">
        <f>+'Revenue Projections Detail'!L86</f>
        <v>2605938</v>
      </c>
      <c r="N26" s="773">
        <f t="shared" si="1"/>
        <v>2605938</v>
      </c>
      <c r="O26" s="773"/>
      <c r="P26" s="774"/>
      <c r="U26" s="773">
        <f>+N26</f>
        <v>2605938</v>
      </c>
    </row>
    <row r="27" spans="1:24" x14ac:dyDescent="0.25">
      <c r="B27" s="769" t="s">
        <v>248</v>
      </c>
      <c r="C27" s="775">
        <f>+'Revenue Projections Detail'!B88</f>
        <v>31461</v>
      </c>
      <c r="D27" s="775">
        <f>+'Revenue Projections Detail'!C88</f>
        <v>33809</v>
      </c>
      <c r="E27" s="775">
        <f>+'Revenue Projections Detail'!D88</f>
        <v>27165</v>
      </c>
      <c r="F27" s="775">
        <f>+'Revenue Projections Detail'!E88</f>
        <v>30847</v>
      </c>
      <c r="G27" s="775">
        <f>+'Revenue Projections Detail'!F88</f>
        <v>31987</v>
      </c>
      <c r="H27" s="775">
        <f>+'Revenue Projections Detail'!G88</f>
        <v>33258</v>
      </c>
      <c r="I27" s="775">
        <f>+'Revenue Projections Detail'!H88</f>
        <v>36096</v>
      </c>
      <c r="J27" s="775">
        <v>46984</v>
      </c>
      <c r="K27" s="798">
        <f>+'Revenue Projections Detail'!J88</f>
        <v>59089</v>
      </c>
      <c r="L27" s="798">
        <f>+'Revenue Projections Detail'!K88</f>
        <v>206164</v>
      </c>
      <c r="M27" s="775">
        <f>+'Revenue Projections Detail'!L88</f>
        <v>316015</v>
      </c>
      <c r="N27" s="776">
        <f t="shared" si="1"/>
        <v>316015</v>
      </c>
      <c r="O27" s="776"/>
      <c r="P27" s="775"/>
      <c r="Q27" s="776"/>
      <c r="R27" s="776"/>
      <c r="S27" s="776"/>
      <c r="T27" s="776"/>
      <c r="U27" s="776"/>
      <c r="V27" s="776">
        <f>+N27</f>
        <v>316015</v>
      </c>
    </row>
    <row r="28" spans="1:24" x14ac:dyDescent="0.25">
      <c r="B28" s="769" t="s">
        <v>121</v>
      </c>
      <c r="C28" s="774">
        <f t="shared" ref="C28:V28" si="2">SUM(C6:C27)</f>
        <v>17289092</v>
      </c>
      <c r="D28" s="774">
        <f t="shared" si="2"/>
        <v>17943688.84</v>
      </c>
      <c r="E28" s="774">
        <f t="shared" si="2"/>
        <v>18514017.5</v>
      </c>
      <c r="F28" s="774">
        <f t="shared" si="2"/>
        <v>20913240</v>
      </c>
      <c r="G28" s="774" t="e">
        <f t="shared" si="2"/>
        <v>#REF!</v>
      </c>
      <c r="H28" s="774">
        <f t="shared" si="2"/>
        <v>23492152.969999999</v>
      </c>
      <c r="I28" s="774">
        <f t="shared" si="2"/>
        <v>24541002.5</v>
      </c>
      <c r="J28" s="774">
        <f t="shared" si="2"/>
        <v>25285879</v>
      </c>
      <c r="K28" s="796">
        <f t="shared" si="2"/>
        <v>26391003</v>
      </c>
      <c r="L28" s="796">
        <f t="shared" ref="L28" si="3">SUM(L6:L27)</f>
        <v>26909302</v>
      </c>
      <c r="M28" s="774">
        <f t="shared" si="2"/>
        <v>28383875.670000002</v>
      </c>
      <c r="N28" s="774">
        <f>SUM(N6:N27)</f>
        <v>28383875.670000002</v>
      </c>
      <c r="O28" s="774">
        <f t="shared" si="2"/>
        <v>24566917.670000002</v>
      </c>
      <c r="P28" s="774">
        <f t="shared" si="2"/>
        <v>251242</v>
      </c>
      <c r="Q28" s="774">
        <f t="shared" si="2"/>
        <v>288763</v>
      </c>
      <c r="R28" s="774">
        <f t="shared" si="2"/>
        <v>225000</v>
      </c>
      <c r="S28" s="774">
        <f t="shared" si="2"/>
        <v>0</v>
      </c>
      <c r="T28" s="774">
        <f t="shared" si="2"/>
        <v>0</v>
      </c>
      <c r="U28" s="774">
        <f t="shared" si="2"/>
        <v>2735938</v>
      </c>
      <c r="V28" s="774">
        <f t="shared" si="2"/>
        <v>316015</v>
      </c>
      <c r="X28" s="2"/>
    </row>
    <row r="29" spans="1:24" x14ac:dyDescent="0.25">
      <c r="B29" s="773"/>
      <c r="C29" s="773"/>
      <c r="D29" s="773"/>
      <c r="E29" s="773"/>
      <c r="F29" s="773"/>
      <c r="G29" s="773"/>
      <c r="H29" s="773"/>
      <c r="I29" s="773"/>
      <c r="J29" s="773"/>
      <c r="M29" s="774"/>
      <c r="N29" s="773">
        <f>SUM(O28:V28)</f>
        <v>28383875.670000002</v>
      </c>
      <c r="O29" s="773"/>
      <c r="P29" s="774"/>
      <c r="V29" s="774"/>
    </row>
    <row r="30" spans="1:24" x14ac:dyDescent="0.25">
      <c r="B30" s="773" t="s">
        <v>690</v>
      </c>
      <c r="C30" s="773"/>
      <c r="D30" s="773"/>
      <c r="E30" s="773"/>
      <c r="F30" s="773"/>
      <c r="G30" s="773"/>
      <c r="H30" s="773"/>
      <c r="I30" s="773"/>
      <c r="J30" s="773"/>
      <c r="M30" s="774"/>
      <c r="N30" s="773"/>
      <c r="O30" s="773"/>
      <c r="P30" s="774"/>
      <c r="V30" s="774"/>
    </row>
    <row r="31" spans="1:24" x14ac:dyDescent="0.25">
      <c r="B31" s="773" t="s">
        <v>691</v>
      </c>
      <c r="C31" s="773"/>
      <c r="D31" s="773"/>
      <c r="E31" s="773"/>
      <c r="F31" s="773"/>
      <c r="G31" s="773"/>
      <c r="H31" s="773"/>
      <c r="I31" s="773"/>
      <c r="J31" s="773"/>
      <c r="K31" s="796">
        <f>+K28-SUM(K22:K27)-K14</f>
        <v>23848094</v>
      </c>
      <c r="M31" s="773">
        <f>+M28-SUM(M22:M27)-M14</f>
        <v>25411972.670000002</v>
      </c>
      <c r="N31" s="773">
        <f>+N28-SUM(N22:N27)-N14</f>
        <v>25411972.670000002</v>
      </c>
      <c r="O31" s="987"/>
      <c r="P31" s="774"/>
      <c r="V31" s="774"/>
    </row>
    <row r="32" spans="1:24" x14ac:dyDescent="0.25">
      <c r="B32" s="773" t="s">
        <v>428</v>
      </c>
      <c r="C32" s="773"/>
      <c r="D32" s="773"/>
      <c r="E32" s="773"/>
      <c r="F32" s="773"/>
      <c r="G32" s="773"/>
      <c r="H32" s="773"/>
      <c r="I32" s="773"/>
      <c r="J32" s="773"/>
      <c r="M32" s="774"/>
      <c r="N32" s="773"/>
      <c r="O32" s="987"/>
      <c r="P32" s="774"/>
      <c r="V32" s="774"/>
    </row>
    <row r="34" spans="1:17" x14ac:dyDescent="0.25">
      <c r="C34" s="770" t="s">
        <v>336</v>
      </c>
      <c r="D34" s="770" t="s">
        <v>77</v>
      </c>
      <c r="E34" s="770" t="s">
        <v>1156</v>
      </c>
      <c r="F34" s="770" t="s">
        <v>789</v>
      </c>
      <c r="G34" s="770" t="s">
        <v>889</v>
      </c>
      <c r="H34" s="770" t="s">
        <v>905</v>
      </c>
      <c r="I34" s="770" t="s">
        <v>906</v>
      </c>
      <c r="J34" s="771" t="s">
        <v>907</v>
      </c>
      <c r="K34" s="795" t="s">
        <v>908</v>
      </c>
      <c r="L34" s="795" t="s">
        <v>1612</v>
      </c>
      <c r="M34" s="771" t="s">
        <v>910</v>
      </c>
      <c r="N34" s="771" t="s">
        <v>910</v>
      </c>
      <c r="O34" s="771"/>
      <c r="Q34" s="774"/>
    </row>
    <row r="35" spans="1:17" x14ac:dyDescent="0.25">
      <c r="C35" s="770" t="s">
        <v>127</v>
      </c>
      <c r="D35" s="770" t="s">
        <v>127</v>
      </c>
      <c r="E35" s="770" t="s">
        <v>127</v>
      </c>
      <c r="F35" s="770" t="s">
        <v>127</v>
      </c>
      <c r="G35" s="770" t="s">
        <v>127</v>
      </c>
      <c r="H35" s="770" t="s">
        <v>127</v>
      </c>
      <c r="I35" s="770" t="s">
        <v>127</v>
      </c>
      <c r="J35" s="770" t="s">
        <v>127</v>
      </c>
      <c r="K35" s="795" t="s">
        <v>127</v>
      </c>
      <c r="L35" s="795"/>
      <c r="M35" s="771" t="s">
        <v>473</v>
      </c>
      <c r="N35" s="772" t="s">
        <v>177</v>
      </c>
      <c r="O35" s="772"/>
      <c r="Q35" s="774"/>
    </row>
    <row r="36" spans="1:17" x14ac:dyDescent="0.25">
      <c r="B36" s="769" t="s">
        <v>273</v>
      </c>
      <c r="M36" s="774"/>
      <c r="O36" s="777"/>
      <c r="Q36" s="774"/>
    </row>
    <row r="37" spans="1:17" x14ac:dyDescent="0.25">
      <c r="A37" s="956">
        <v>113</v>
      </c>
      <c r="B37" s="769" t="s">
        <v>274</v>
      </c>
      <c r="C37" s="774">
        <f>+'113 Town Mtg'!C23</f>
        <v>1561.73</v>
      </c>
      <c r="D37" s="774">
        <f>+'113 Town Mtg'!D23</f>
        <v>1423.38</v>
      </c>
      <c r="E37" s="774">
        <f>+'113 Town Mtg'!E23</f>
        <v>1614.6</v>
      </c>
      <c r="F37" s="774">
        <f>+'113 Town Mtg'!F23</f>
        <v>1368.86</v>
      </c>
      <c r="G37" s="774">
        <f>+'113 Town Mtg'!G23</f>
        <v>1581.73</v>
      </c>
      <c r="H37" s="774">
        <f>+'113 Town Mtg'!H23</f>
        <v>1783.82</v>
      </c>
      <c r="I37" s="774">
        <f>+'113 Town Mtg'!I23</f>
        <v>1800</v>
      </c>
      <c r="J37" s="774">
        <f>+'113 Town Mtg'!J23</f>
        <v>4037.63</v>
      </c>
      <c r="K37" s="796">
        <f>+'113 Town Mtg'!L23</f>
        <v>1403.7</v>
      </c>
      <c r="L37" s="796">
        <f>+'113 Town Mtg'!M23</f>
        <v>2140</v>
      </c>
      <c r="M37" s="774">
        <f>ROUND((+'113 Town Mtg'!O23),0)</f>
        <v>2390</v>
      </c>
      <c r="N37" s="774">
        <f>ROUND((+'113 Town Mtg'!P23),0)</f>
        <v>2390</v>
      </c>
      <c r="Q37" s="774"/>
    </row>
    <row r="38" spans="1:17" x14ac:dyDescent="0.25">
      <c r="A38" s="956">
        <v>122</v>
      </c>
      <c r="B38" s="769" t="s">
        <v>1296</v>
      </c>
      <c r="C38" s="774">
        <f>+'122 Selectboard'!C36</f>
        <v>129636.18999999999</v>
      </c>
      <c r="D38" s="774">
        <f>+'122 Selectboard'!D36</f>
        <v>141863.65000000002</v>
      </c>
      <c r="E38" s="774">
        <f>+'122 Selectboard'!E36</f>
        <v>148667.49</v>
      </c>
      <c r="F38" s="774">
        <f>+'122 Selectboard'!F36</f>
        <v>155552.90000000002</v>
      </c>
      <c r="G38" s="774">
        <f>+'122 Selectboard'!G36</f>
        <v>193441</v>
      </c>
      <c r="H38" s="774">
        <f>+'122 Selectboard'!H36</f>
        <v>175165.72999999998</v>
      </c>
      <c r="I38" s="774">
        <f>+'122 Selectboard'!I36</f>
        <v>172490.09999999998</v>
      </c>
      <c r="J38" s="774">
        <f>+'122 Selectboard'!J36</f>
        <v>181145.66999999998</v>
      </c>
      <c r="K38" s="796">
        <f>+'122 Selectboard'!L36</f>
        <v>189784.35</v>
      </c>
      <c r="L38" s="796">
        <f>+'122 Selectboard'!M36</f>
        <v>194729</v>
      </c>
      <c r="M38" s="774">
        <f>ROUND((+'122 Selectboard'!O36),0)</f>
        <v>313510</v>
      </c>
      <c r="N38" s="774">
        <f>ROUND((+'122 Selectboard'!P36),0)</f>
        <v>313510</v>
      </c>
      <c r="Q38" s="774"/>
    </row>
    <row r="39" spans="1:17" x14ac:dyDescent="0.25">
      <c r="A39" s="956">
        <v>131</v>
      </c>
      <c r="B39" s="769" t="s">
        <v>277</v>
      </c>
      <c r="C39" s="774">
        <f>+'131 Fin Comm'!C19</f>
        <v>659.25</v>
      </c>
      <c r="D39" s="774">
        <f>+'131 Fin Comm'!D19</f>
        <v>315.39999999999998</v>
      </c>
      <c r="E39" s="774">
        <f>+'131 Fin Comm'!E19</f>
        <v>571.79999999999995</v>
      </c>
      <c r="F39" s="774">
        <f>+'131 Fin Comm'!F19</f>
        <v>615.22</v>
      </c>
      <c r="G39" s="774">
        <f>+'131 Fin Comm'!G19</f>
        <v>422</v>
      </c>
      <c r="H39" s="774">
        <f>+'131 Fin Comm'!H19</f>
        <v>468</v>
      </c>
      <c r="I39" s="774">
        <f>+'131 Fin Comm'!I19</f>
        <v>673.07999999999993</v>
      </c>
      <c r="J39" s="774">
        <f>+'131 Fin Comm'!J19</f>
        <v>464.1</v>
      </c>
      <c r="K39" s="796">
        <f>+'131 Fin Comm'!L19</f>
        <v>280</v>
      </c>
      <c r="L39" s="796">
        <f>+'131 Fin Comm'!M19</f>
        <v>2000</v>
      </c>
      <c r="M39" s="774">
        <f>ROUND((+'131 Fin Comm'!O19),0)</f>
        <v>2000</v>
      </c>
      <c r="N39" s="774">
        <f>ROUND((+'131 Fin Comm'!P19),0)</f>
        <v>2000</v>
      </c>
      <c r="Q39" s="774"/>
    </row>
    <row r="40" spans="1:17" x14ac:dyDescent="0.25">
      <c r="A40" s="956">
        <v>132</v>
      </c>
      <c r="B40" s="769" t="s">
        <v>279</v>
      </c>
      <c r="C40" s="774">
        <f>+'132 Reserve Fund'!C14</f>
        <v>44620</v>
      </c>
      <c r="D40" s="774">
        <f>+'132 Reserve Fund'!D14</f>
        <v>24500</v>
      </c>
      <c r="E40" s="774">
        <f>+'132 Reserve Fund'!E14</f>
        <v>41400</v>
      </c>
      <c r="F40" s="774">
        <f>+'132 Reserve Fund'!F14</f>
        <v>55839.67</v>
      </c>
      <c r="G40" s="774">
        <f>+'132 Reserve Fund'!G14</f>
        <v>58400.800000000003</v>
      </c>
      <c r="H40" s="774">
        <f>+'132 Reserve Fund'!H14</f>
        <v>43309.74</v>
      </c>
      <c r="I40" s="774">
        <f>+'132 Reserve Fund'!I14</f>
        <v>20200</v>
      </c>
      <c r="J40" s="774">
        <f>+'132 Reserve Fund'!J14</f>
        <v>29700</v>
      </c>
      <c r="K40" s="796">
        <f>+'132 Reserve Fund'!L14</f>
        <v>18500</v>
      </c>
      <c r="L40" s="796">
        <f>+'132 Reserve Fund'!M14</f>
        <v>60000</v>
      </c>
      <c r="M40" s="774">
        <f>ROUND((+'132 Reserve Fund'!O14),0)</f>
        <v>50000</v>
      </c>
      <c r="N40" s="774">
        <f>ROUND((+'132 Reserve Fund'!P14),0)</f>
        <v>50000</v>
      </c>
      <c r="Q40" s="774"/>
    </row>
    <row r="41" spans="1:17" x14ac:dyDescent="0.25">
      <c r="A41" s="956">
        <v>135</v>
      </c>
      <c r="B41" s="769" t="s">
        <v>281</v>
      </c>
      <c r="C41" s="774">
        <f>+'135 Acct'!C27</f>
        <v>69678.560000000012</v>
      </c>
      <c r="D41" s="774">
        <f>+'135 Acct'!D27</f>
        <v>69599.66</v>
      </c>
      <c r="E41" s="774">
        <f>+'135 Acct'!E27</f>
        <v>73935.94</v>
      </c>
      <c r="F41" s="774">
        <f>+'135 Acct'!F27</f>
        <v>76437.100000000006</v>
      </c>
      <c r="G41" s="774">
        <f>+'135 Acct'!G27</f>
        <v>75098.350000000006</v>
      </c>
      <c r="H41" s="774">
        <f>+'135 Acct'!H27</f>
        <v>75900.149999999994</v>
      </c>
      <c r="I41" s="774">
        <f>+'135 Acct'!I27</f>
        <v>77521.61</v>
      </c>
      <c r="J41" s="774">
        <f>+'135 Acct'!J27</f>
        <v>80373.84</v>
      </c>
      <c r="K41" s="796">
        <f>+'135 Acct'!L27</f>
        <v>81589.320000000007</v>
      </c>
      <c r="L41" s="796">
        <f>+'135 Acct'!M27</f>
        <v>83400</v>
      </c>
      <c r="M41" s="774">
        <f>ROUND((+'135 Acct'!O27),0)</f>
        <v>88600</v>
      </c>
      <c r="N41" s="774">
        <f>ROUND((+'135 Acct'!P27),0)</f>
        <v>88600</v>
      </c>
      <c r="Q41" s="774"/>
    </row>
    <row r="42" spans="1:17" x14ac:dyDescent="0.25">
      <c r="A42" s="956">
        <v>141</v>
      </c>
      <c r="B42" s="769" t="s">
        <v>282</v>
      </c>
      <c r="C42" s="774">
        <f>+'141 BOA'!C42</f>
        <v>141651.54</v>
      </c>
      <c r="D42" s="774">
        <f>+'141 BOA'!D42</f>
        <v>144985.04999999999</v>
      </c>
      <c r="E42" s="774">
        <f>+'141 BOA'!E42</f>
        <v>151757</v>
      </c>
      <c r="F42" s="774">
        <f>+'141 BOA'!F42</f>
        <v>159170.29</v>
      </c>
      <c r="G42" s="774">
        <f>+'141 BOA'!G42</f>
        <v>163402.36000000002</v>
      </c>
      <c r="H42" s="774">
        <f>+'141 BOA'!H42</f>
        <v>172805.62</v>
      </c>
      <c r="I42" s="774">
        <f>+'141 BOA'!I42</f>
        <v>172698.83000000002</v>
      </c>
      <c r="J42" s="774">
        <f>+'141 BOA'!J42</f>
        <v>184928.44</v>
      </c>
      <c r="K42" s="796">
        <f>+'141 BOA'!L42</f>
        <v>169249.33</v>
      </c>
      <c r="L42" s="796">
        <f>+'141 BOA'!M42</f>
        <v>179761</v>
      </c>
      <c r="M42" s="774">
        <f>ROUND((+'141 BOA'!O42),0)</f>
        <v>187261</v>
      </c>
      <c r="N42" s="774">
        <f>ROUND((+'141 BOA'!P42),0)</f>
        <v>187261</v>
      </c>
      <c r="Q42" s="774"/>
    </row>
    <row r="43" spans="1:17" hidden="1" x14ac:dyDescent="0.25">
      <c r="A43" s="956">
        <v>141</v>
      </c>
      <c r="B43" s="769" t="s">
        <v>882</v>
      </c>
      <c r="C43" s="774">
        <f>+'141 BOA'!C40</f>
        <v>0</v>
      </c>
      <c r="D43" s="774">
        <f>+'141 BOA'!D40</f>
        <v>0</v>
      </c>
      <c r="E43" s="774">
        <f>+'141 BOA'!E40</f>
        <v>0</v>
      </c>
      <c r="F43" s="774">
        <f>+'141 BOA'!F40</f>
        <v>3860</v>
      </c>
      <c r="G43" s="774">
        <f>+'141 BOA'!G40</f>
        <v>0</v>
      </c>
      <c r="H43" s="774">
        <f>+'141 BOA'!H40</f>
        <v>0</v>
      </c>
      <c r="I43" s="774">
        <f>+'141 BOA'!I40</f>
        <v>0</v>
      </c>
      <c r="J43" s="774">
        <f>+'141 BOA'!J40</f>
        <v>0</v>
      </c>
      <c r="K43" s="796">
        <f>+'141 BOA'!L40</f>
        <v>0</v>
      </c>
      <c r="L43" s="796">
        <f>+'141 BOA'!M40</f>
        <v>0</v>
      </c>
      <c r="M43" s="774">
        <f>+'141 BOA'!O40</f>
        <v>0</v>
      </c>
      <c r="N43" s="774">
        <f>+'141 BOA'!P40</f>
        <v>0</v>
      </c>
      <c r="Q43" s="774"/>
    </row>
    <row r="44" spans="1:17" x14ac:dyDescent="0.25">
      <c r="A44" s="956">
        <v>145</v>
      </c>
      <c r="B44" s="769" t="s">
        <v>283</v>
      </c>
      <c r="C44" s="774">
        <f>+'145 Treas'!C33</f>
        <v>191039.90999999997</v>
      </c>
      <c r="D44" s="774">
        <f>+'145 Treas'!D33</f>
        <v>197309.9</v>
      </c>
      <c r="E44" s="774">
        <f>+'145 Treas'!E33</f>
        <v>206758.38</v>
      </c>
      <c r="F44" s="774">
        <f>+'145 Treas'!F33</f>
        <v>218034.8</v>
      </c>
      <c r="G44" s="774">
        <f>+'145 Treas'!G33</f>
        <v>213700.67</v>
      </c>
      <c r="H44" s="774">
        <f>+'145 Treas'!H33</f>
        <v>208670.33</v>
      </c>
      <c r="I44" s="774">
        <f>+'145 Treas'!I33</f>
        <v>206826.21</v>
      </c>
      <c r="J44" s="774">
        <f>+'145 Treas'!J33</f>
        <v>219412.09000000003</v>
      </c>
      <c r="K44" s="796">
        <f>+'145 Treas'!L33</f>
        <v>223197.94</v>
      </c>
      <c r="L44" s="796">
        <f>+'145 Treas'!M33</f>
        <v>228963</v>
      </c>
      <c r="M44" s="774">
        <f>ROUND((+'145 Treas'!O33),0)</f>
        <v>215888</v>
      </c>
      <c r="N44" s="774">
        <f>ROUND((+'145 Treas'!P33),0)</f>
        <v>215888</v>
      </c>
      <c r="Q44" s="774"/>
    </row>
    <row r="45" spans="1:17" x14ac:dyDescent="0.25">
      <c r="A45" s="956">
        <v>151</v>
      </c>
      <c r="B45" s="769" t="s">
        <v>285</v>
      </c>
      <c r="C45" s="774">
        <f>+'151 Counsel'!C15</f>
        <v>79291.739999999991</v>
      </c>
      <c r="D45" s="774">
        <f>+'151 Counsel'!D15</f>
        <v>68222.33</v>
      </c>
      <c r="E45" s="774">
        <f>+'151 Counsel'!E15</f>
        <v>104258.47</v>
      </c>
      <c r="F45" s="774">
        <f>+'151 Counsel'!F15</f>
        <v>74568.58</v>
      </c>
      <c r="G45" s="774">
        <f>+'151 Counsel'!G15</f>
        <v>94990.93</v>
      </c>
      <c r="H45" s="774">
        <f>+'151 Counsel'!H15</f>
        <v>78752.53</v>
      </c>
      <c r="I45" s="774">
        <f>+'151 Counsel'!I15</f>
        <v>62050.99</v>
      </c>
      <c r="J45" s="774">
        <f>+'151 Counsel'!J15</f>
        <v>47390.289999999994</v>
      </c>
      <c r="K45" s="796">
        <f>+'151 Counsel'!L15</f>
        <v>51028.08</v>
      </c>
      <c r="L45" s="796">
        <f>+'151 Counsel'!M15</f>
        <v>85000</v>
      </c>
      <c r="M45" s="774">
        <f>ROUND((+'151 Counsel'!O15),0)</f>
        <v>75000</v>
      </c>
      <c r="N45" s="774">
        <f>ROUND((+'151 Counsel'!P15),0)</f>
        <v>75000</v>
      </c>
      <c r="Q45" s="774"/>
    </row>
    <row r="46" spans="1:17" x14ac:dyDescent="0.25">
      <c r="A46" s="956">
        <v>155</v>
      </c>
      <c r="B46" s="769" t="s">
        <v>946</v>
      </c>
      <c r="C46" s="774">
        <f>+'155 IT'!C26</f>
        <v>21070.73</v>
      </c>
      <c r="D46" s="774">
        <f>+'155 IT'!D26</f>
        <v>21720.39</v>
      </c>
      <c r="E46" s="774">
        <f>+'155 IT'!E26</f>
        <v>22312.94</v>
      </c>
      <c r="F46" s="774">
        <f>+'155 IT'!F26</f>
        <v>31491.690000000002</v>
      </c>
      <c r="G46" s="774">
        <f>+'155 IT'!G26</f>
        <v>33814.289999999994</v>
      </c>
      <c r="H46" s="774">
        <f>+'155 IT'!H26</f>
        <v>43349.700000000004</v>
      </c>
      <c r="I46" s="774">
        <f>+'155 IT'!I26</f>
        <v>46323.6</v>
      </c>
      <c r="J46" s="774">
        <f>+'155 IT'!J26</f>
        <v>56002.240000000005</v>
      </c>
      <c r="K46" s="796">
        <f>+'155 IT'!L26</f>
        <v>71280.13</v>
      </c>
      <c r="L46" s="796">
        <f>+'155 IT'!M26</f>
        <v>97800</v>
      </c>
      <c r="M46" s="774">
        <f>ROUND((+'155 IT'!O26),0)</f>
        <v>79000</v>
      </c>
      <c r="N46" s="774">
        <f>ROUND((+'155 IT'!P26),0)</f>
        <v>79000</v>
      </c>
      <c r="Q46" s="774"/>
    </row>
    <row r="47" spans="1:17" x14ac:dyDescent="0.25">
      <c r="A47" s="956">
        <v>159</v>
      </c>
      <c r="B47" s="769" t="s">
        <v>537</v>
      </c>
      <c r="C47" s="774">
        <f>+'159 Shared Costs'!C23</f>
        <v>41297.370000000003</v>
      </c>
      <c r="D47" s="774">
        <f>+'159 Shared Costs'!D23</f>
        <v>40543.560000000005</v>
      </c>
      <c r="E47" s="774">
        <f>+'159 Shared Costs'!E23</f>
        <v>43387.42</v>
      </c>
      <c r="F47" s="774">
        <f>+'159 Shared Costs'!F23</f>
        <v>43663.680000000008</v>
      </c>
      <c r="G47" s="774">
        <f>+'159 Shared Costs'!G23</f>
        <v>43321.19</v>
      </c>
      <c r="H47" s="774">
        <f>+'159 Shared Costs'!H23</f>
        <v>72116.45</v>
      </c>
      <c r="I47" s="774">
        <f>+'159 Shared Costs'!I23</f>
        <v>81055.099999999991</v>
      </c>
      <c r="J47" s="774">
        <f>+'159 Shared Costs'!J23</f>
        <v>59453.41</v>
      </c>
      <c r="K47" s="796">
        <f>+'159 Shared Costs'!L23</f>
        <v>62336.41</v>
      </c>
      <c r="L47" s="796">
        <f>+'159 Shared Costs'!M23</f>
        <v>77579</v>
      </c>
      <c r="M47" s="774">
        <f>ROUND((+'159 Shared Costs'!O23),0)</f>
        <v>78079</v>
      </c>
      <c r="N47" s="774">
        <f>ROUND((+'159 Shared Costs'!P23),0)</f>
        <v>78079</v>
      </c>
      <c r="Q47" s="774"/>
    </row>
    <row r="48" spans="1:17" x14ac:dyDescent="0.25">
      <c r="A48" s="956">
        <v>161</v>
      </c>
      <c r="B48" s="769" t="s">
        <v>287</v>
      </c>
      <c r="C48" s="774">
        <f>+'161 Clerk'!C38</f>
        <v>130503.54</v>
      </c>
      <c r="D48" s="774">
        <f>+'161 Clerk'!D38</f>
        <v>113509.36</v>
      </c>
      <c r="E48" s="774">
        <f>+'161 Clerk'!E38</f>
        <v>134637.65</v>
      </c>
      <c r="F48" s="774">
        <f>+'161 Clerk'!F38</f>
        <v>135316.26999999999</v>
      </c>
      <c r="G48" s="774">
        <f>+'161 Clerk'!G38</f>
        <v>142245.75999999998</v>
      </c>
      <c r="H48" s="774">
        <f>+'161 Clerk'!H38</f>
        <v>134774.06</v>
      </c>
      <c r="I48" s="774">
        <f>+'161 Clerk'!I38</f>
        <v>164798.6</v>
      </c>
      <c r="J48" s="774">
        <f>+'161 Clerk'!J38</f>
        <v>152976.47999999998</v>
      </c>
      <c r="K48" s="796">
        <f>+'161 Clerk'!L38</f>
        <v>163415.98000000001</v>
      </c>
      <c r="L48" s="796">
        <f>+'161 Clerk'!M38</f>
        <v>155173</v>
      </c>
      <c r="M48" s="774">
        <f>ROUND((+'161 Clerk'!O38),0)</f>
        <v>192153</v>
      </c>
      <c r="N48" s="774">
        <f>ROUND((+'161 Clerk'!P38),0)</f>
        <v>192153</v>
      </c>
      <c r="Q48" s="774"/>
    </row>
    <row r="49" spans="1:24" x14ac:dyDescent="0.25">
      <c r="A49" s="956">
        <v>175</v>
      </c>
      <c r="B49" s="769" t="s">
        <v>569</v>
      </c>
      <c r="C49" s="774">
        <f>+'175 Planning'!C31</f>
        <v>64295.68</v>
      </c>
      <c r="D49" s="774">
        <f>+'175 Planning'!D31</f>
        <v>74043.48</v>
      </c>
      <c r="E49" s="774">
        <f>+'175 Planning'!E31</f>
        <v>76609.999999999985</v>
      </c>
      <c r="F49" s="774">
        <f>+'175 Planning'!F31</f>
        <v>78689.919999999998</v>
      </c>
      <c r="G49" s="774">
        <f>+'175 Planning'!G31</f>
        <v>85614.25</v>
      </c>
      <c r="H49" s="774">
        <f>+'175 Planning'!H31</f>
        <v>89106.83</v>
      </c>
      <c r="I49" s="774">
        <f>+'175 Planning'!I31</f>
        <v>113367.35999999999</v>
      </c>
      <c r="J49" s="774">
        <f>+'175 Planning'!J31</f>
        <v>123363.51</v>
      </c>
      <c r="K49" s="796">
        <f>+'175 Planning'!L31</f>
        <v>119134.15999999999</v>
      </c>
      <c r="L49" s="796">
        <f>+'175 Planning'!M31</f>
        <v>123121</v>
      </c>
      <c r="M49" s="774">
        <f>ROUND((+'175 Planning'!O31),0)</f>
        <v>129007</v>
      </c>
      <c r="N49" s="774">
        <f>ROUND((+'175 Planning'!P31),0)</f>
        <v>129007</v>
      </c>
      <c r="Q49" s="774"/>
    </row>
    <row r="50" spans="1:24" x14ac:dyDescent="0.25">
      <c r="A50" s="956">
        <v>176</v>
      </c>
      <c r="B50" s="769" t="s">
        <v>290</v>
      </c>
      <c r="C50" s="774">
        <f>+'176 ZBA'!C18</f>
        <v>3437.02</v>
      </c>
      <c r="D50" s="774">
        <f>+'176 ZBA'!D18</f>
        <v>1079.7</v>
      </c>
      <c r="E50" s="774">
        <f>+'176 ZBA'!E18</f>
        <v>1238.56</v>
      </c>
      <c r="F50" s="774">
        <f>+'176 ZBA'!F18</f>
        <v>2203.6799999999998</v>
      </c>
      <c r="G50" s="774">
        <f>+'176 ZBA'!G18</f>
        <v>2086.86</v>
      </c>
      <c r="H50" s="774">
        <f>+'176 ZBA'!H18</f>
        <v>3065.5</v>
      </c>
      <c r="I50" s="774">
        <f>+'176 ZBA'!I18</f>
        <v>611.48</v>
      </c>
      <c r="J50" s="774">
        <f>+'176 ZBA'!J18</f>
        <v>789.57</v>
      </c>
      <c r="K50" s="796">
        <f>+'176 ZBA'!L18</f>
        <v>214.56</v>
      </c>
      <c r="L50" s="796">
        <f>+'176 ZBA'!M18</f>
        <v>700</v>
      </c>
      <c r="M50" s="774">
        <f>ROUND((+'176 ZBA'!O18),0)</f>
        <v>700</v>
      </c>
      <c r="N50" s="774">
        <f>ROUND((+'176 ZBA'!P18),0)</f>
        <v>700</v>
      </c>
      <c r="Q50" s="774"/>
    </row>
    <row r="51" spans="1:24" x14ac:dyDescent="0.25">
      <c r="A51" s="956">
        <v>182</v>
      </c>
      <c r="B51" s="769" t="s">
        <v>718</v>
      </c>
      <c r="C51" s="773">
        <f>+'182 MEDIC'!C17</f>
        <v>1485</v>
      </c>
      <c r="D51" s="773">
        <f>+'182 MEDIC'!D17</f>
        <v>0</v>
      </c>
      <c r="E51" s="773">
        <f>+'182 MEDIC'!E17</f>
        <v>676</v>
      </c>
      <c r="F51" s="773">
        <f>+'182 MEDIC'!F17</f>
        <v>776</v>
      </c>
      <c r="G51" s="773">
        <f>+'182 MEDIC'!G17</f>
        <v>984</v>
      </c>
      <c r="H51" s="773">
        <f>+'182 MEDIC'!H17</f>
        <v>884</v>
      </c>
      <c r="I51" s="773">
        <f>+'182 MEDIC'!I17</f>
        <v>882.6</v>
      </c>
      <c r="J51" s="773">
        <f>+'182 MEDIC'!J17</f>
        <v>930</v>
      </c>
      <c r="K51" s="796">
        <f>+'182 MEDIC'!L17</f>
        <v>4815</v>
      </c>
      <c r="L51" s="796">
        <f>+'182 MEDIC'!M17</f>
        <v>5000</v>
      </c>
      <c r="M51" s="773">
        <f>ROUND((+'182 MEDIC'!O17),0)</f>
        <v>5000</v>
      </c>
      <c r="N51" s="773">
        <f>ROUND((+'182 MEDIC'!P17),0)</f>
        <v>5000</v>
      </c>
      <c r="O51" s="773"/>
      <c r="Q51" s="774"/>
    </row>
    <row r="52" spans="1:24" x14ac:dyDescent="0.25">
      <c r="A52" s="956">
        <v>190</v>
      </c>
      <c r="B52" s="769" t="s">
        <v>566</v>
      </c>
      <c r="C52" s="774">
        <f>+'190 Publ Bldg Utilities'!C41</f>
        <v>89938.37</v>
      </c>
      <c r="D52" s="774">
        <f>+'190 Publ Bldg Utilities'!D41</f>
        <v>103744.03</v>
      </c>
      <c r="E52" s="774">
        <f>+'190 Publ Bldg Utilities'!E41</f>
        <v>94949.29</v>
      </c>
      <c r="F52" s="774">
        <f>+'190 Publ Bldg Utilities'!F41</f>
        <v>93004.470000000016</v>
      </c>
      <c r="G52" s="774">
        <f>+'190 Publ Bldg Utilities'!G41</f>
        <v>86631.79</v>
      </c>
      <c r="H52" s="774">
        <f>+'190 Publ Bldg Utilities'!H41</f>
        <v>88374.909999999974</v>
      </c>
      <c r="I52" s="774">
        <f>+'190 Publ Bldg Utilities'!I41</f>
        <v>92714.789999999964</v>
      </c>
      <c r="J52" s="774">
        <f>+'190 Publ Bldg Utilities'!J41</f>
        <v>77501.360000000015</v>
      </c>
      <c r="K52" s="796">
        <f>+'190 Publ Bldg Utilities'!L41</f>
        <v>85460.26</v>
      </c>
      <c r="L52" s="796">
        <f>+'190 Publ Bldg Utilities'!M41</f>
        <v>109846</v>
      </c>
      <c r="M52" s="774">
        <f>ROUND((+'190 Publ Bldg Utilities'!O41),0)</f>
        <v>112782</v>
      </c>
      <c r="N52" s="774">
        <f>+'190 Publ Bldg Utilities'!P41</f>
        <v>112782</v>
      </c>
      <c r="P52" s="777"/>
      <c r="Q52" s="778"/>
      <c r="R52" s="777"/>
    </row>
    <row r="53" spans="1:24" x14ac:dyDescent="0.25">
      <c r="C53" s="774"/>
      <c r="D53" s="774"/>
      <c r="E53" s="774"/>
      <c r="F53" s="774"/>
      <c r="G53" s="774"/>
      <c r="H53" s="774"/>
      <c r="I53" s="774"/>
      <c r="J53" s="774"/>
      <c r="M53" s="774"/>
      <c r="O53" s="773"/>
      <c r="P53" s="777"/>
      <c r="Q53" s="778"/>
      <c r="R53" s="777"/>
      <c r="X53" s="778"/>
    </row>
    <row r="54" spans="1:24" x14ac:dyDescent="0.25">
      <c r="B54" s="769" t="s">
        <v>292</v>
      </c>
      <c r="C54" s="774">
        <f t="shared" ref="C54:M54" si="4">SUM(C37:C53)</f>
        <v>1010166.63</v>
      </c>
      <c r="D54" s="774">
        <f t="shared" si="4"/>
        <v>1002859.89</v>
      </c>
      <c r="E54" s="774">
        <f t="shared" si="4"/>
        <v>1102775.54</v>
      </c>
      <c r="F54" s="774">
        <f t="shared" si="4"/>
        <v>1130593.1300000004</v>
      </c>
      <c r="G54" s="774">
        <f t="shared" si="4"/>
        <v>1195735.9800000002</v>
      </c>
      <c r="H54" s="774">
        <f t="shared" si="4"/>
        <v>1188527.3699999999</v>
      </c>
      <c r="I54" s="774">
        <f t="shared" si="4"/>
        <v>1214014.3500000001</v>
      </c>
      <c r="J54" s="774">
        <f t="shared" ref="J54" si="5">SUM(J37:J53)</f>
        <v>1218468.6300000001</v>
      </c>
      <c r="K54" s="796">
        <f>SUM(K37:K53)</f>
        <v>1241689.22</v>
      </c>
      <c r="L54" s="796">
        <f>SUM(L37:L53)</f>
        <v>1405212</v>
      </c>
      <c r="M54" s="774">
        <f t="shared" si="4"/>
        <v>1531370</v>
      </c>
      <c r="N54" s="774">
        <f t="shared" ref="N54" si="6">SUM(N37:N53)</f>
        <v>1531370</v>
      </c>
      <c r="O54" s="773"/>
      <c r="P54" s="777"/>
      <c r="Q54" s="778"/>
      <c r="R54" s="777"/>
    </row>
    <row r="55" spans="1:24" x14ac:dyDescent="0.25">
      <c r="C55" s="774"/>
      <c r="D55" s="774"/>
      <c r="E55" s="774"/>
      <c r="F55" s="774"/>
      <c r="G55" s="774"/>
      <c r="H55" s="774"/>
      <c r="I55" s="774"/>
      <c r="J55" s="774"/>
      <c r="M55" s="774"/>
      <c r="O55" s="773"/>
      <c r="P55" s="777"/>
      <c r="Q55" s="778"/>
      <c r="R55" s="777"/>
    </row>
    <row r="56" spans="1:24" x14ac:dyDescent="0.25">
      <c r="B56" s="769" t="s">
        <v>293</v>
      </c>
      <c r="C56" s="774"/>
      <c r="D56" s="774"/>
      <c r="E56" s="774"/>
      <c r="F56" s="774"/>
      <c r="G56" s="774"/>
      <c r="H56" s="774"/>
      <c r="I56" s="774"/>
      <c r="J56" s="774"/>
      <c r="M56" s="774"/>
      <c r="O56" s="773"/>
      <c r="P56" s="777"/>
      <c r="Q56" s="778"/>
      <c r="R56" s="777"/>
    </row>
    <row r="57" spans="1:24" x14ac:dyDescent="0.25">
      <c r="A57" s="956">
        <v>211</v>
      </c>
      <c r="B57" s="769" t="s">
        <v>294</v>
      </c>
      <c r="C57" s="774">
        <f>+'211 Police'!C59-'211 Police'!C57</f>
        <v>1203014.26</v>
      </c>
      <c r="D57" s="774">
        <f>+'211 Police'!D59-'211 Police'!D57</f>
        <v>1263124.29</v>
      </c>
      <c r="E57" s="774">
        <f>+'211 Police'!E59-'211 Police'!E57</f>
        <v>1370950.0999999999</v>
      </c>
      <c r="F57" s="774">
        <f>+'211 Police'!F59-'211 Police'!F57</f>
        <v>1410262.7999999998</v>
      </c>
      <c r="G57" s="774">
        <f>+'211 Police'!G59-'211 Police'!G57</f>
        <v>1470652.1500000001</v>
      </c>
      <c r="H57" s="774">
        <f>+'211 Police'!H59-'211 Police'!H57</f>
        <v>1309212.4100000001</v>
      </c>
      <c r="I57" s="774">
        <f>+'211 Police'!I59-'211 Police'!I57</f>
        <v>1550896.98</v>
      </c>
      <c r="J57" s="774">
        <f>+'211 Police'!J59-'211 Police'!J57</f>
        <v>1595325.69</v>
      </c>
      <c r="K57" s="796">
        <f>+'211 Police'!L59-'211 Police'!L57</f>
        <v>1627631.8900000001</v>
      </c>
      <c r="L57" s="796">
        <f>+'211 Police'!M59-'211 Police'!M57</f>
        <v>1761945</v>
      </c>
      <c r="M57" s="774">
        <f>ROUND((+'211 Police'!O59-'211 Police'!O57),0)</f>
        <v>1832757</v>
      </c>
      <c r="N57" s="774">
        <f>ROUND((+'211 Police'!P59-'211 Police'!P57),0)</f>
        <v>1832757</v>
      </c>
      <c r="P57" s="777"/>
      <c r="Q57" s="778"/>
      <c r="R57" s="777"/>
    </row>
    <row r="58" spans="1:24" x14ac:dyDescent="0.25">
      <c r="A58" s="956">
        <v>211</v>
      </c>
      <c r="B58" s="769" t="s">
        <v>596</v>
      </c>
      <c r="C58" s="774">
        <f>+'211 Police'!C57</f>
        <v>36895.4</v>
      </c>
      <c r="D58" s="774">
        <f>+'211 Police'!D57</f>
        <v>39483.5</v>
      </c>
      <c r="E58" s="774">
        <f>+'211 Police'!E57</f>
        <v>39102.5</v>
      </c>
      <c r="F58" s="774">
        <f>+'211 Police'!F57</f>
        <v>39498.1</v>
      </c>
      <c r="G58" s="774">
        <f>+'211 Police'!G57</f>
        <v>39500</v>
      </c>
      <c r="H58" s="774">
        <f>+'211 Police'!H57</f>
        <v>41424</v>
      </c>
      <c r="I58" s="774">
        <f>+'211 Police'!I57</f>
        <v>34000</v>
      </c>
      <c r="J58" s="774">
        <f>+'211 Police'!J57</f>
        <v>51600</v>
      </c>
      <c r="K58" s="796">
        <f>+'211 Police'!L57</f>
        <v>22900</v>
      </c>
      <c r="L58" s="796">
        <f>+'211 Police'!M57</f>
        <v>53000</v>
      </c>
      <c r="M58" s="774">
        <f>ROUND((+'211 Police'!O57),0)</f>
        <v>54000</v>
      </c>
      <c r="N58" s="774">
        <f>ROUND((+'211 Police'!P57),0)</f>
        <v>54000</v>
      </c>
      <c r="P58" s="777"/>
      <c r="Q58" s="778"/>
      <c r="R58" s="777"/>
    </row>
    <row r="59" spans="1:24" x14ac:dyDescent="0.25">
      <c r="A59" s="956">
        <v>212</v>
      </c>
      <c r="B59" s="769" t="s">
        <v>443</v>
      </c>
      <c r="C59" s="774">
        <f>+'212 Dispatch'!C26</f>
        <v>219830.37</v>
      </c>
      <c r="D59" s="774">
        <f>+'212 Dispatch'!D26</f>
        <v>247066.76000000004</v>
      </c>
      <c r="E59" s="774">
        <f>+'212 Dispatch'!E26</f>
        <v>261015.62</v>
      </c>
      <c r="F59" s="774">
        <f>+'212 Dispatch'!F26</f>
        <v>261095.52</v>
      </c>
      <c r="G59" s="774">
        <f>+'212 Dispatch'!G26</f>
        <v>268261.88000000006</v>
      </c>
      <c r="H59" s="774">
        <f>+'212 Dispatch'!H26</f>
        <v>297260.07</v>
      </c>
      <c r="I59" s="774">
        <f>+'212 Dispatch'!I26</f>
        <v>299708.75999999995</v>
      </c>
      <c r="J59" s="774">
        <f>+'212 Dispatch'!J26</f>
        <v>313079.05999999994</v>
      </c>
      <c r="K59" s="796">
        <f>+'212 Dispatch'!L26</f>
        <v>286236</v>
      </c>
      <c r="L59" s="796">
        <f>+'212 Dispatch'!M26</f>
        <v>310291</v>
      </c>
      <c r="M59" s="774">
        <f>ROUND((+'212 Dispatch'!O26),0)</f>
        <v>372901</v>
      </c>
      <c r="N59" s="774">
        <f>ROUND((+'212 Dispatch'!P26),0)</f>
        <v>372901</v>
      </c>
      <c r="P59" s="777"/>
      <c r="Q59" s="778"/>
      <c r="R59" s="777"/>
    </row>
    <row r="60" spans="1:24" x14ac:dyDescent="0.25">
      <c r="A60" s="956">
        <v>241</v>
      </c>
      <c r="B60" s="769" t="s">
        <v>295</v>
      </c>
      <c r="C60" s="774">
        <f>+'241 Bldg'!C34</f>
        <v>111725.37000000001</v>
      </c>
      <c r="D60" s="774">
        <f>+'241 Bldg'!D34</f>
        <v>114463.61999999998</v>
      </c>
      <c r="E60" s="774">
        <f>+'241 Bldg'!E34</f>
        <v>118337.56</v>
      </c>
      <c r="F60" s="774">
        <f>+'241 Bldg'!F34</f>
        <v>123515.03</v>
      </c>
      <c r="G60" s="774">
        <f>+'241 Bldg'!G34</f>
        <v>124191.90999999999</v>
      </c>
      <c r="H60" s="774">
        <f>+'241 Bldg'!H34</f>
        <v>142151.04999999999</v>
      </c>
      <c r="I60" s="774">
        <f>+'241 Bldg'!I34</f>
        <v>124218.98</v>
      </c>
      <c r="J60" s="774">
        <f>+'241 Bldg'!J34</f>
        <v>135195.35999999999</v>
      </c>
      <c r="K60" s="796">
        <f>+'241 Bldg'!L34</f>
        <v>139843.77000000002</v>
      </c>
      <c r="L60" s="796">
        <f>+'241 Bldg'!M34</f>
        <v>143080</v>
      </c>
      <c r="M60" s="774">
        <f>ROUND((+'241 Bldg'!O34),0)</f>
        <v>137382</v>
      </c>
      <c r="N60" s="774">
        <f>ROUND((+'241 Bldg'!P34),0)</f>
        <v>137382</v>
      </c>
      <c r="P60" s="777"/>
      <c r="Q60" s="778"/>
      <c r="R60" s="777"/>
    </row>
    <row r="61" spans="1:24" x14ac:dyDescent="0.25">
      <c r="A61" s="956">
        <v>244</v>
      </c>
      <c r="B61" s="769" t="s">
        <v>570</v>
      </c>
      <c r="C61" s="774">
        <f>+'244 Sealer'!C12</f>
        <v>2750</v>
      </c>
      <c r="D61" s="774">
        <f>+'244 Sealer'!D12</f>
        <v>2750</v>
      </c>
      <c r="E61" s="774">
        <f>+'244 Sealer'!E12</f>
        <v>2750</v>
      </c>
      <c r="F61" s="774">
        <f>+'244 Sealer'!F12</f>
        <v>2750</v>
      </c>
      <c r="G61" s="774">
        <f>+'244 Sealer'!G12</f>
        <v>2750</v>
      </c>
      <c r="H61" s="774">
        <f>+'244 Sealer'!H12</f>
        <v>2750</v>
      </c>
      <c r="I61" s="774">
        <f>+'244 Sealer'!I12</f>
        <v>2750</v>
      </c>
      <c r="J61" s="774">
        <f>+'244 Sealer'!J12</f>
        <v>2750</v>
      </c>
      <c r="K61" s="796">
        <f>+'244 Sealer'!L12</f>
        <v>2750</v>
      </c>
      <c r="L61" s="796">
        <f>+'244 Sealer'!M12</f>
        <v>2750</v>
      </c>
      <c r="M61" s="774">
        <f>ROUND((+'244 Sealer'!O12),0)</f>
        <v>2750</v>
      </c>
      <c r="N61" s="774">
        <f>ROUND((+'244 Sealer'!P12),0)</f>
        <v>2750</v>
      </c>
      <c r="P61" s="777"/>
      <c r="Q61" s="778"/>
      <c r="R61" s="777"/>
      <c r="X61" s="777"/>
    </row>
    <row r="62" spans="1:24" x14ac:dyDescent="0.25">
      <c r="A62" s="956">
        <v>291</v>
      </c>
      <c r="B62" s="769" t="s">
        <v>297</v>
      </c>
      <c r="C62" s="774">
        <f>+'291 Emergency'!C16</f>
        <v>5490</v>
      </c>
      <c r="D62" s="774">
        <f>+'291 Emergency'!D16</f>
        <v>5590</v>
      </c>
      <c r="E62" s="774">
        <f>+'291 Emergency'!E16</f>
        <v>5590</v>
      </c>
      <c r="F62" s="774">
        <f>+'291 Emergency'!F16</f>
        <v>5640</v>
      </c>
      <c r="G62" s="774">
        <f>+'291 Emergency'!G16</f>
        <v>5490</v>
      </c>
      <c r="H62" s="774">
        <f>+'291 Emergency'!H16</f>
        <v>5490</v>
      </c>
      <c r="I62" s="774">
        <f>+'291 Emergency'!I16</f>
        <v>5490</v>
      </c>
      <c r="J62" s="774">
        <f>+'291 Emergency'!J16</f>
        <v>5765</v>
      </c>
      <c r="K62" s="796">
        <f>+'291 Emergency'!L16</f>
        <v>5765</v>
      </c>
      <c r="L62" s="796">
        <f>+'291 Emergency'!M16</f>
        <v>6265</v>
      </c>
      <c r="M62" s="774">
        <f>ROUND((+'291 Emergency'!O16),0)</f>
        <v>6265</v>
      </c>
      <c r="N62" s="774">
        <f>ROUND((+'291 Emergency'!P16),0)</f>
        <v>6265</v>
      </c>
      <c r="P62" s="777"/>
      <c r="Q62" s="778"/>
      <c r="R62" s="777"/>
    </row>
    <row r="63" spans="1:24" x14ac:dyDescent="0.25">
      <c r="A63" s="956">
        <v>292</v>
      </c>
      <c r="B63" s="769" t="s">
        <v>298</v>
      </c>
      <c r="C63" s="774">
        <f>+'292 Animal'!C16</f>
        <v>3869.81</v>
      </c>
      <c r="D63" s="774">
        <f>+'292 Animal'!D16</f>
        <v>12240.720000000001</v>
      </c>
      <c r="E63" s="774">
        <f>+'292 Animal'!E16</f>
        <v>16352.41</v>
      </c>
      <c r="F63" s="774">
        <f>+'292 Animal'!F16</f>
        <v>16526.579999999998</v>
      </c>
      <c r="G63" s="774">
        <f>+'292 Animal'!G16</f>
        <v>17994.600000000002</v>
      </c>
      <c r="H63" s="774">
        <f>+'292 Animal'!H16</f>
        <v>18281.5</v>
      </c>
      <c r="I63" s="774">
        <f>+'292 Animal'!I16</f>
        <v>19156.59</v>
      </c>
      <c r="J63" s="774">
        <f>+'292 Animal'!J16</f>
        <v>20200.080000000002</v>
      </c>
      <c r="K63" s="796">
        <f>+'292 Animal'!L16</f>
        <v>20141.48</v>
      </c>
      <c r="L63" s="796">
        <f>+'292 Animal'!M16</f>
        <v>21527</v>
      </c>
      <c r="M63" s="774">
        <f>ROUND((+'292 Animal'!O16),0)</f>
        <v>21765</v>
      </c>
      <c r="N63" s="774">
        <f>ROUND((+'292 Animal'!P16),0)</f>
        <v>21765</v>
      </c>
      <c r="P63" s="777"/>
      <c r="Q63" s="778"/>
      <c r="R63" s="779"/>
      <c r="S63" s="769"/>
      <c r="T63" s="769"/>
      <c r="U63" s="769"/>
      <c r="V63" s="769"/>
      <c r="W63" s="746"/>
    </row>
    <row r="64" spans="1:24" hidden="1" x14ac:dyDescent="0.25">
      <c r="A64" s="956"/>
      <c r="B64" s="769" t="s">
        <v>1037</v>
      </c>
      <c r="C64" s="774">
        <f>+'292 Animal'!C19</f>
        <v>0</v>
      </c>
      <c r="D64" s="774">
        <f>+'292 Animal'!D19</f>
        <v>0</v>
      </c>
      <c r="E64" s="774">
        <f>+'292 Animal'!E19</f>
        <v>0</v>
      </c>
      <c r="F64" s="774">
        <f>+'292 Animal'!F19</f>
        <v>0</v>
      </c>
      <c r="G64" s="774">
        <f>+'292 Animal'!G19</f>
        <v>0</v>
      </c>
      <c r="H64" s="774">
        <f>+'292 Animal'!H19</f>
        <v>7883.74</v>
      </c>
      <c r="I64" s="774">
        <f>+'292 Animal'!I19</f>
        <v>0</v>
      </c>
      <c r="J64" s="774">
        <f>+'292 Animal'!J19</f>
        <v>0</v>
      </c>
      <c r="K64" s="796">
        <f>+'292 Animal'!L19</f>
        <v>0</v>
      </c>
      <c r="L64" s="796">
        <f>+'292 Animal'!M19</f>
        <v>0</v>
      </c>
      <c r="M64" s="774">
        <f>+'292 Animal'!O19</f>
        <v>0</v>
      </c>
      <c r="N64" s="774">
        <f>+'292 Animal'!P19</f>
        <v>0</v>
      </c>
      <c r="P64" s="777"/>
      <c r="Q64" s="778"/>
      <c r="R64" s="779"/>
      <c r="S64" s="769"/>
      <c r="T64" s="769"/>
      <c r="U64" s="769"/>
      <c r="V64" s="769"/>
      <c r="W64" s="746"/>
    </row>
    <row r="65" spans="1:24" x14ac:dyDescent="0.25">
      <c r="A65" s="956">
        <v>294</v>
      </c>
      <c r="B65" s="769" t="s">
        <v>299</v>
      </c>
      <c r="C65" s="774">
        <f>+'294 Forest Warden'!C12</f>
        <v>1584</v>
      </c>
      <c r="D65" s="774">
        <f>+'294 Forest Warden'!D12</f>
        <v>1631</v>
      </c>
      <c r="E65" s="774">
        <f>+'294 Forest Warden'!E12</f>
        <v>1631</v>
      </c>
      <c r="F65" s="774">
        <f>+'294 Forest Warden'!F12</f>
        <v>1631</v>
      </c>
      <c r="G65" s="774">
        <f>+'294 Forest Warden'!G12</f>
        <v>1631</v>
      </c>
      <c r="H65" s="774">
        <f>+'294 Forest Warden'!H12</f>
        <v>1631</v>
      </c>
      <c r="I65" s="774">
        <f>+'294 Forest Warden'!I12</f>
        <v>1631</v>
      </c>
      <c r="J65" s="774">
        <f>+'294 Forest Warden'!J12</f>
        <v>1710</v>
      </c>
      <c r="K65" s="796">
        <f>+'294 Forest Warden'!L12</f>
        <v>1710</v>
      </c>
      <c r="L65" s="796">
        <f>+'294 Forest Warden'!M12</f>
        <v>1710</v>
      </c>
      <c r="M65" s="774">
        <f>ROUND((+'294 Forest Warden'!O12),0)</f>
        <v>1710</v>
      </c>
      <c r="N65" s="774">
        <f>ROUND((+'294 Forest Warden'!P12),0)</f>
        <v>1710</v>
      </c>
      <c r="P65" s="777"/>
      <c r="Q65" s="778"/>
      <c r="R65" s="779"/>
      <c r="S65" s="769"/>
      <c r="T65" s="769"/>
      <c r="U65" s="769"/>
      <c r="V65" s="769"/>
      <c r="W65" s="746"/>
    </row>
    <row r="66" spans="1:24" x14ac:dyDescent="0.25">
      <c r="A66" s="956">
        <v>299</v>
      </c>
      <c r="B66" s="769" t="s">
        <v>1</v>
      </c>
      <c r="C66" s="774">
        <f>+'299 Tree Warden'!C19</f>
        <v>11817.089999999998</v>
      </c>
      <c r="D66" s="774">
        <f>+'299 Tree Warden'!D19</f>
        <v>11889.699999999999</v>
      </c>
      <c r="E66" s="774">
        <f>+'299 Tree Warden'!E19</f>
        <v>12951.44</v>
      </c>
      <c r="F66" s="774">
        <f>+'299 Tree Warden'!F19</f>
        <v>12826.49</v>
      </c>
      <c r="G66" s="774">
        <f>+'299 Tree Warden'!G19</f>
        <v>13716</v>
      </c>
      <c r="H66" s="774">
        <f>+'299 Tree Warden'!H19</f>
        <v>16680.8</v>
      </c>
      <c r="I66" s="774">
        <f>+'299 Tree Warden'!I19</f>
        <v>17045.5</v>
      </c>
      <c r="J66" s="774">
        <f>+'299 Tree Warden'!J19</f>
        <v>15710</v>
      </c>
      <c r="K66" s="796">
        <f>+'299 Tree Warden'!L19</f>
        <v>19260</v>
      </c>
      <c r="L66" s="796">
        <f>+'299 Tree Warden'!M19</f>
        <v>30285</v>
      </c>
      <c r="M66" s="774">
        <f>ROUND((+'299 Tree Warden'!O19),0)</f>
        <v>30285</v>
      </c>
      <c r="N66" s="774">
        <f>ROUND((+'299 Tree Warden'!P19),0)</f>
        <v>30285</v>
      </c>
      <c r="P66" s="777"/>
      <c r="Q66" s="778"/>
      <c r="R66" s="779"/>
      <c r="S66" s="769"/>
      <c r="T66" s="769"/>
      <c r="U66" s="769"/>
      <c r="V66" s="769"/>
      <c r="W66" s="746"/>
    </row>
    <row r="67" spans="1:24" x14ac:dyDescent="0.25">
      <c r="A67" s="956"/>
      <c r="C67" s="774"/>
      <c r="D67" s="774"/>
      <c r="E67" s="774"/>
      <c r="F67" s="774"/>
      <c r="G67" s="774"/>
      <c r="H67" s="774"/>
      <c r="I67" s="774"/>
      <c r="J67" s="774"/>
      <c r="M67" s="774"/>
      <c r="P67" s="777"/>
      <c r="Q67" s="778"/>
      <c r="R67" s="779"/>
      <c r="S67" s="769"/>
      <c r="T67" s="769"/>
      <c r="U67" s="769"/>
      <c r="V67" s="769"/>
      <c r="W67" s="746"/>
    </row>
    <row r="68" spans="1:24" x14ac:dyDescent="0.25">
      <c r="B68" s="769" t="s">
        <v>300</v>
      </c>
      <c r="C68" s="774">
        <f>SUM(C57:C66)</f>
        <v>1596976.3</v>
      </c>
      <c r="D68" s="774">
        <f>SUM(D57:D66)</f>
        <v>1698239.5899999999</v>
      </c>
      <c r="E68" s="774">
        <f>SUM(E57:E66)</f>
        <v>1828680.6299999997</v>
      </c>
      <c r="F68" s="774">
        <f>SUM(F57:F66)</f>
        <v>1873745.52</v>
      </c>
      <c r="G68" s="774">
        <f>SUM(G57:G66)</f>
        <v>1944187.5400000003</v>
      </c>
      <c r="H68" s="774">
        <f t="shared" ref="H68:M68" si="7">SUM(H57:H67)</f>
        <v>1842764.5700000003</v>
      </c>
      <c r="I68" s="774">
        <f t="shared" si="7"/>
        <v>2054897.81</v>
      </c>
      <c r="J68" s="774">
        <f t="shared" si="7"/>
        <v>2141335.19</v>
      </c>
      <c r="K68" s="796">
        <f>SUM(K57:K67)</f>
        <v>2126238.14</v>
      </c>
      <c r="L68" s="796">
        <f>SUM(L57:L67)</f>
        <v>2330853</v>
      </c>
      <c r="M68" s="774">
        <f t="shared" si="7"/>
        <v>2459815</v>
      </c>
      <c r="N68" s="774">
        <f t="shared" ref="N68" si="8">SUM(N57:N67)</f>
        <v>2459815</v>
      </c>
      <c r="O68" s="773"/>
      <c r="P68" s="777"/>
      <c r="Q68" s="778"/>
      <c r="R68" s="779"/>
      <c r="S68" s="769"/>
      <c r="T68" s="769"/>
      <c r="U68" s="769"/>
      <c r="V68" s="769"/>
      <c r="W68" s="746"/>
    </row>
    <row r="69" spans="1:24" x14ac:dyDescent="0.25">
      <c r="C69" s="774"/>
      <c r="D69" s="774"/>
      <c r="E69" s="774"/>
      <c r="F69" s="774"/>
      <c r="G69" s="774"/>
      <c r="H69" s="774"/>
      <c r="I69" s="774"/>
      <c r="J69" s="774"/>
      <c r="M69" s="774"/>
      <c r="O69" s="773"/>
      <c r="P69" s="777"/>
      <c r="Q69" s="778"/>
      <c r="R69" s="779"/>
      <c r="S69" s="769"/>
      <c r="T69" s="769"/>
      <c r="U69" s="769"/>
      <c r="V69" s="769"/>
      <c r="W69" s="746"/>
    </row>
    <row r="70" spans="1:24" x14ac:dyDescent="0.25">
      <c r="B70" s="769" t="s">
        <v>301</v>
      </c>
      <c r="C70" s="774"/>
      <c r="D70" s="774"/>
      <c r="E70" s="774"/>
      <c r="F70" s="774"/>
      <c r="G70" s="774"/>
      <c r="H70" s="774"/>
      <c r="I70" s="774"/>
      <c r="J70" s="774"/>
      <c r="M70" s="774"/>
      <c r="O70" s="773"/>
      <c r="P70" s="777"/>
      <c r="Q70" s="778"/>
      <c r="R70" s="779"/>
      <c r="S70" s="769"/>
      <c r="T70" s="769"/>
      <c r="U70" s="769"/>
      <c r="V70" s="769"/>
      <c r="W70" s="746"/>
    </row>
    <row r="71" spans="1:24" x14ac:dyDescent="0.25">
      <c r="A71" s="956">
        <v>420</v>
      </c>
      <c r="B71" s="769" t="s">
        <v>565</v>
      </c>
      <c r="C71" s="774">
        <f>+'420 DPW'!C60</f>
        <v>961847.43</v>
      </c>
      <c r="D71" s="774">
        <f>+'420 DPW'!D60</f>
        <v>1059583.8599999999</v>
      </c>
      <c r="E71" s="774">
        <f>+'420 DPW'!E60</f>
        <v>1131643.6700000004</v>
      </c>
      <c r="F71" s="774">
        <f>+'420 DPW'!F60</f>
        <v>1126607.77</v>
      </c>
      <c r="G71" s="774">
        <f>+'420 DPW'!G60</f>
        <v>1120246.68</v>
      </c>
      <c r="H71" s="774">
        <f>+'420 DPW'!H60</f>
        <v>1203442.93</v>
      </c>
      <c r="I71" s="774">
        <f>+'420 DPW'!I55+'420 DPW'!I17</f>
        <v>1292641</v>
      </c>
      <c r="J71" s="774">
        <f>+'420 DPW'!J55+'420 DPW'!J17</f>
        <v>1354730</v>
      </c>
      <c r="K71" s="796">
        <f>+'420 DPW'!L55+'420 DPW'!L17</f>
        <v>1353859.55</v>
      </c>
      <c r="L71" s="796">
        <f>+'420 DPW'!M55+'420 DPW'!M17</f>
        <v>1518825</v>
      </c>
      <c r="M71" s="774">
        <f>ROUND((+'420 DPW'!O55+'420 DPW'!O17),0)</f>
        <v>1548375</v>
      </c>
      <c r="N71" s="774">
        <f>ROUND((+'420 DPW'!P55+'420 DPW'!P17),0)</f>
        <v>1548375</v>
      </c>
      <c r="P71" s="777"/>
      <c r="Q71" s="778"/>
      <c r="R71" s="779"/>
      <c r="S71" s="769"/>
      <c r="T71" s="769"/>
      <c r="U71" s="769"/>
      <c r="V71" s="769"/>
      <c r="W71" s="746"/>
    </row>
    <row r="72" spans="1:24" x14ac:dyDescent="0.25">
      <c r="A72" s="956"/>
      <c r="B72" s="769" t="s">
        <v>1184</v>
      </c>
      <c r="C72" s="774"/>
      <c r="D72" s="774"/>
      <c r="E72" s="774"/>
      <c r="F72" s="774"/>
      <c r="G72" s="774"/>
      <c r="H72" s="774"/>
      <c r="I72" s="774">
        <f>+'422 Maintenance'!I52</f>
        <v>21320.41</v>
      </c>
      <c r="J72" s="774">
        <f>+'422 Maintenance'!J52</f>
        <v>21320.41</v>
      </c>
      <c r="K72" s="796">
        <f>+'420 DPW'!L58</f>
        <v>21320.41</v>
      </c>
      <c r="L72" s="796">
        <f>+'420 DPW'!M58</f>
        <v>21321</v>
      </c>
      <c r="M72" s="774">
        <f>ROUND((+'420 DPW'!O58),0)</f>
        <v>0</v>
      </c>
      <c r="N72" s="774">
        <f>ROUND((+'420 DPW'!P58),0)</f>
        <v>0</v>
      </c>
      <c r="P72" s="777"/>
      <c r="Q72" s="778"/>
      <c r="R72" s="779"/>
      <c r="S72" s="769"/>
      <c r="T72" s="769"/>
      <c r="U72" s="769"/>
      <c r="V72" s="769"/>
      <c r="W72" s="746"/>
    </row>
    <row r="73" spans="1:24" x14ac:dyDescent="0.25">
      <c r="A73" s="956">
        <v>423</v>
      </c>
      <c r="B73" s="769" t="s">
        <v>302</v>
      </c>
      <c r="C73" s="774">
        <f>+'423 Snow'!C20</f>
        <v>160444.29999999999</v>
      </c>
      <c r="D73" s="774">
        <f>+'423 Snow'!D20</f>
        <v>210140.56</v>
      </c>
      <c r="E73" s="774">
        <f>+'423 Snow'!E20</f>
        <v>219244.89</v>
      </c>
      <c r="F73" s="774">
        <f>+'423 Snow'!F20</f>
        <v>123759.04000000001</v>
      </c>
      <c r="G73" s="774">
        <f>+'423 Snow'!G20</f>
        <v>205328.90000000002</v>
      </c>
      <c r="H73" s="774">
        <f>+'423 Snow'!H20</f>
        <v>222597.99</v>
      </c>
      <c r="I73" s="774">
        <f>+'423 Snow'!I20</f>
        <v>200141.16999999998</v>
      </c>
      <c r="J73" s="774">
        <f>+'423 Snow'!J20</f>
        <v>183319.78999999998</v>
      </c>
      <c r="K73" s="796">
        <f>+'423 Snow'!L20</f>
        <v>161279.20000000001</v>
      </c>
      <c r="L73" s="796">
        <f>+'423 Snow'!M20</f>
        <v>278050</v>
      </c>
      <c r="M73" s="774">
        <f>ROUND((+'423 Snow'!O20),0)</f>
        <v>278050</v>
      </c>
      <c r="N73" s="774">
        <f>ROUND((+'423 Snow'!P20),0)</f>
        <v>278050</v>
      </c>
      <c r="P73" s="777"/>
      <c r="Q73" s="778"/>
      <c r="R73" s="779"/>
      <c r="S73" s="769"/>
      <c r="T73" s="769"/>
      <c r="U73" s="769"/>
      <c r="V73" s="769"/>
      <c r="W73" s="746"/>
    </row>
    <row r="74" spans="1:24" x14ac:dyDescent="0.25">
      <c r="A74" s="956">
        <v>433</v>
      </c>
      <c r="B74" s="769" t="s">
        <v>448</v>
      </c>
      <c r="C74" s="774">
        <f>+'433 Solid Waste'!C27</f>
        <v>429438.93999999994</v>
      </c>
      <c r="D74" s="774">
        <f>+'433 Solid Waste'!D27</f>
        <v>431107.1</v>
      </c>
      <c r="E74" s="774">
        <f>+'433 Solid Waste'!E27</f>
        <v>408831.09</v>
      </c>
      <c r="F74" s="774">
        <f>+'433 Solid Waste'!F27</f>
        <v>433084.91999999993</v>
      </c>
      <c r="G74" s="774">
        <f>+'433 Solid Waste'!G27</f>
        <v>424079.87999999995</v>
      </c>
      <c r="H74" s="774">
        <f>+'433 Solid Waste'!H27</f>
        <v>441302.8</v>
      </c>
      <c r="I74" s="774">
        <f>+'433 Solid Waste'!I27</f>
        <v>458147.52</v>
      </c>
      <c r="J74" s="774">
        <f>+'433 Solid Waste'!J27</f>
        <v>517898.2900000001</v>
      </c>
      <c r="K74" s="796">
        <f>+'433 Solid Waste'!L27</f>
        <v>564292.41999999993</v>
      </c>
      <c r="L74" s="796">
        <f>+'433 Solid Waste'!M27</f>
        <v>624796</v>
      </c>
      <c r="M74" s="774">
        <f>ROUND((+'433 Solid Waste'!O27),0)</f>
        <v>655985</v>
      </c>
      <c r="N74" s="774">
        <f>ROUND((+'433 Solid Waste'!P27),0)</f>
        <v>655985</v>
      </c>
      <c r="P74" s="777"/>
      <c r="Q74" s="778"/>
      <c r="R74" s="779"/>
      <c r="S74" s="769"/>
      <c r="T74" s="769"/>
      <c r="U74" s="769"/>
      <c r="V74" s="769"/>
      <c r="W74" s="746"/>
      <c r="X74" s="778"/>
    </row>
    <row r="75" spans="1:24" x14ac:dyDescent="0.25">
      <c r="A75" s="956">
        <v>480</v>
      </c>
      <c r="B75" s="769" t="s">
        <v>1356</v>
      </c>
      <c r="C75" s="774"/>
      <c r="D75" s="774"/>
      <c r="E75" s="774"/>
      <c r="F75" s="774"/>
      <c r="G75" s="774"/>
      <c r="H75" s="774"/>
      <c r="I75" s="774"/>
      <c r="J75" s="774"/>
      <c r="K75" s="796">
        <f>+'480 Charging Stations'!L15</f>
        <v>3227.64</v>
      </c>
      <c r="L75" s="796">
        <f>+'480 Charging Stations'!M15</f>
        <v>6000</v>
      </c>
      <c r="M75" s="774">
        <f>ROUND((+'480 Charging Stations'!O15),0)</f>
        <v>6000</v>
      </c>
      <c r="N75" s="774">
        <f>ROUND((+'480 Charging Stations'!P15),0)</f>
        <v>6000</v>
      </c>
      <c r="P75" s="777"/>
      <c r="Q75" s="778"/>
      <c r="R75" s="779"/>
      <c r="S75" s="769"/>
      <c r="T75" s="769"/>
      <c r="U75" s="769"/>
      <c r="V75" s="769"/>
      <c r="W75" s="746"/>
    </row>
    <row r="76" spans="1:24" x14ac:dyDescent="0.25">
      <c r="A76" s="956">
        <v>491</v>
      </c>
      <c r="B76" s="769" t="s">
        <v>304</v>
      </c>
      <c r="C76" s="774">
        <f>+'491 Cemetery'!C17</f>
        <v>4741</v>
      </c>
      <c r="D76" s="774">
        <f>+'491 Cemetery'!D17</f>
        <v>2715</v>
      </c>
      <c r="E76" s="774">
        <f>+'491 Cemetery'!E17</f>
        <v>5850</v>
      </c>
      <c r="F76" s="774">
        <f>+'491 Cemetery'!F17</f>
        <v>6360</v>
      </c>
      <c r="G76" s="774">
        <f>+'491 Cemetery'!G17</f>
        <v>6040</v>
      </c>
      <c r="H76" s="774">
        <f>+'491 Cemetery'!H17</f>
        <v>5440</v>
      </c>
      <c r="I76" s="774">
        <f>+'491 Cemetery'!I17</f>
        <v>6955</v>
      </c>
      <c r="J76" s="774">
        <f>+'491 Cemetery'!J17</f>
        <v>6845</v>
      </c>
      <c r="K76" s="796">
        <f>+'491 Cemetery'!L17</f>
        <v>3227.64</v>
      </c>
      <c r="L76" s="796">
        <f>+'491 Cemetery'!M17</f>
        <v>13440</v>
      </c>
      <c r="M76" s="774">
        <f>ROUND((+'491 Cemetery'!O17),0)</f>
        <v>13440</v>
      </c>
      <c r="N76" s="774">
        <f>ROUND((+'491 Cemetery'!P17),0)</f>
        <v>13440</v>
      </c>
      <c r="P76" s="777"/>
      <c r="Q76" s="778"/>
      <c r="R76" s="779"/>
      <c r="S76" s="769"/>
      <c r="T76" s="769"/>
      <c r="U76" s="769"/>
      <c r="V76" s="769"/>
      <c r="W76" s="746"/>
    </row>
    <row r="77" spans="1:24" x14ac:dyDescent="0.25">
      <c r="C77" s="774"/>
      <c r="D77" s="774"/>
      <c r="E77" s="774"/>
      <c r="F77" s="774"/>
      <c r="G77" s="774"/>
      <c r="H77" s="774"/>
      <c r="I77" s="774"/>
      <c r="J77" s="774"/>
      <c r="M77" s="774"/>
      <c r="O77" s="773"/>
      <c r="P77" s="777"/>
      <c r="Q77" s="778"/>
      <c r="R77" s="779"/>
      <c r="S77" s="769"/>
      <c r="T77" s="769"/>
      <c r="U77" s="769"/>
      <c r="V77" s="769"/>
      <c r="W77" s="746"/>
    </row>
    <row r="78" spans="1:24" x14ac:dyDescent="0.25">
      <c r="B78" s="769" t="s">
        <v>305</v>
      </c>
      <c r="C78" s="774">
        <f t="shared" ref="C78:M78" si="9">SUM(C71:C77)</f>
        <v>1556471.67</v>
      </c>
      <c r="D78" s="774">
        <f t="shared" si="9"/>
        <v>1703546.52</v>
      </c>
      <c r="E78" s="774">
        <f t="shared" si="9"/>
        <v>1765569.6500000006</v>
      </c>
      <c r="F78" s="774">
        <f t="shared" si="9"/>
        <v>1689811.73</v>
      </c>
      <c r="G78" s="774">
        <f t="shared" si="9"/>
        <v>1755695.46</v>
      </c>
      <c r="H78" s="774">
        <f t="shared" si="9"/>
        <v>1872783.72</v>
      </c>
      <c r="I78" s="774">
        <f>SUM(I71:I77)</f>
        <v>1979205.0999999999</v>
      </c>
      <c r="J78" s="774">
        <f>SUM(J71:J77)</f>
        <v>2084113.49</v>
      </c>
      <c r="K78" s="796">
        <f>SUM(K71:K77)</f>
        <v>2107206.8600000003</v>
      </c>
      <c r="L78" s="796">
        <f>SUM(L71:L77)</f>
        <v>2462432</v>
      </c>
      <c r="M78" s="774">
        <f t="shared" si="9"/>
        <v>2501850</v>
      </c>
      <c r="N78" s="774">
        <f t="shared" ref="N78" si="10">SUM(N71:N77)</f>
        <v>2501850</v>
      </c>
      <c r="O78" s="773"/>
      <c r="P78" s="777"/>
      <c r="Q78" s="778"/>
      <c r="R78" s="779"/>
      <c r="S78" s="769"/>
      <c r="T78" s="769"/>
      <c r="U78" s="769"/>
      <c r="V78" s="769"/>
      <c r="W78" s="746"/>
    </row>
    <row r="79" spans="1:24" x14ac:dyDescent="0.25">
      <c r="C79" s="774"/>
      <c r="D79" s="774"/>
      <c r="E79" s="774"/>
      <c r="F79" s="774"/>
      <c r="G79" s="774"/>
      <c r="H79" s="774"/>
      <c r="I79" s="774"/>
      <c r="J79" s="774"/>
      <c r="M79" s="774"/>
      <c r="O79" s="773"/>
      <c r="P79" s="777"/>
      <c r="Q79" s="778"/>
      <c r="R79" s="779"/>
      <c r="S79" s="769"/>
      <c r="T79" s="769"/>
      <c r="U79" s="769"/>
      <c r="V79" s="769"/>
      <c r="W79" s="746"/>
    </row>
    <row r="80" spans="1:24" x14ac:dyDescent="0.25">
      <c r="B80" s="769" t="s">
        <v>306</v>
      </c>
      <c r="C80" s="774"/>
      <c r="D80" s="774"/>
      <c r="E80" s="774"/>
      <c r="F80" s="774"/>
      <c r="G80" s="774"/>
      <c r="H80" s="774"/>
      <c r="I80" s="774"/>
      <c r="J80" s="774"/>
      <c r="M80" s="774"/>
      <c r="O80" s="773"/>
      <c r="P80" s="777"/>
      <c r="Q80" s="778"/>
      <c r="R80" s="779"/>
      <c r="S80" s="769"/>
      <c r="T80" s="769"/>
      <c r="U80" s="769"/>
      <c r="V80" s="769"/>
      <c r="W80" s="746"/>
    </row>
    <row r="81" spans="1:24" x14ac:dyDescent="0.25">
      <c r="C81" s="774"/>
      <c r="D81" s="774"/>
      <c r="E81" s="774"/>
      <c r="F81" s="774"/>
      <c r="G81" s="774"/>
      <c r="H81" s="774"/>
      <c r="I81" s="774"/>
      <c r="J81" s="774"/>
      <c r="M81" s="774"/>
      <c r="O81" s="773"/>
      <c r="P81" s="777"/>
      <c r="Q81" s="778"/>
      <c r="R81" s="779"/>
      <c r="S81" s="769"/>
      <c r="T81" s="769"/>
      <c r="U81" s="769"/>
      <c r="V81" s="769"/>
      <c r="W81" s="746"/>
    </row>
    <row r="82" spans="1:24" x14ac:dyDescent="0.25">
      <c r="A82" s="956">
        <v>511</v>
      </c>
      <c r="B82" s="769" t="s">
        <v>307</v>
      </c>
      <c r="C82" s="774">
        <f>+'511 BOH'!C39</f>
        <v>109258.64</v>
      </c>
      <c r="D82" s="774">
        <f>+'511 BOH'!D39</f>
        <v>120985.98999999999</v>
      </c>
      <c r="E82" s="774">
        <f>+'511 BOH'!E39</f>
        <v>119109.4</v>
      </c>
      <c r="F82" s="774">
        <f>+'511 BOH'!F39</f>
        <v>131182.04999999999</v>
      </c>
      <c r="G82" s="774">
        <f>+'511 BOH'!G39</f>
        <v>128828.22999999998</v>
      </c>
      <c r="H82" s="774">
        <f>+'511 BOH'!H39</f>
        <v>132189.9</v>
      </c>
      <c r="I82" s="774">
        <f>+'511 BOH'!I39</f>
        <v>129404.04000000001</v>
      </c>
      <c r="J82" s="774">
        <f>+'511 BOH'!J39</f>
        <v>122512.12</v>
      </c>
      <c r="K82" s="796">
        <f>+'511 BOH'!L39</f>
        <v>135821.25</v>
      </c>
      <c r="L82" s="796">
        <f>+'511 BOH'!M39</f>
        <v>160324</v>
      </c>
      <c r="M82" s="774">
        <f>ROUND((+'511 BOH'!O39),0)</f>
        <v>163987</v>
      </c>
      <c r="N82" s="774">
        <f>ROUND((+'511 BOH'!P39),0)</f>
        <v>163987</v>
      </c>
      <c r="P82" s="777"/>
      <c r="Q82" s="778"/>
      <c r="R82" s="779"/>
      <c r="S82" s="769"/>
      <c r="T82" s="769"/>
      <c r="U82" s="769"/>
      <c r="V82" s="769"/>
      <c r="W82" s="746"/>
      <c r="X82" s="778"/>
    </row>
    <row r="83" spans="1:24" x14ac:dyDescent="0.25">
      <c r="A83" s="956">
        <v>541</v>
      </c>
      <c r="B83" s="769" t="s">
        <v>309</v>
      </c>
      <c r="C83" s="774">
        <f>+'541 COA'!C26</f>
        <v>27212.79</v>
      </c>
      <c r="D83" s="774">
        <f>+'541 COA'!D26</f>
        <v>36745</v>
      </c>
      <c r="E83" s="774">
        <f>+'541 COA'!E26</f>
        <v>37843.519999999997</v>
      </c>
      <c r="F83" s="774">
        <f>+'541 COA'!F26</f>
        <v>38245.67</v>
      </c>
      <c r="G83" s="774">
        <f>+'541 COA'!G26</f>
        <v>42457.31</v>
      </c>
      <c r="H83" s="774">
        <f>+'541 COA'!H26</f>
        <v>42878.82</v>
      </c>
      <c r="I83" s="774">
        <f>+'541 COA'!I26</f>
        <v>43889</v>
      </c>
      <c r="J83" s="774">
        <f>+'541 COA'!J26</f>
        <v>42131.199999999997</v>
      </c>
      <c r="K83" s="796">
        <f>+'541 COA'!L26</f>
        <v>38774.019999999997</v>
      </c>
      <c r="L83" s="796">
        <f>+'541 COA'!M26</f>
        <v>46521</v>
      </c>
      <c r="M83" s="774">
        <f>ROUND((+'541 COA'!O26),0)</f>
        <v>55340</v>
      </c>
      <c r="N83" s="774">
        <f>ROUND((+'541 COA'!P26),0)</f>
        <v>55340</v>
      </c>
      <c r="P83" s="777"/>
      <c r="Q83" s="778"/>
      <c r="R83" s="779"/>
      <c r="S83" s="769"/>
      <c r="T83" s="769"/>
      <c r="U83" s="769"/>
      <c r="V83" s="769"/>
      <c r="W83" s="746"/>
    </row>
    <row r="84" spans="1:24" x14ac:dyDescent="0.25">
      <c r="A84" s="956">
        <v>543</v>
      </c>
      <c r="B84" s="769" t="s">
        <v>311</v>
      </c>
      <c r="C84" s="774">
        <f>+'543 Vets'!C15</f>
        <v>143993.04</v>
      </c>
      <c r="D84" s="774">
        <f>+'543 Vets'!D15</f>
        <v>154826.14000000001</v>
      </c>
      <c r="E84" s="774">
        <f>+'543 Vets'!E15</f>
        <v>161951.34</v>
      </c>
      <c r="F84" s="774">
        <f>+'543 Vets'!F15</f>
        <v>144534.15</v>
      </c>
      <c r="G84" s="774">
        <f>+'543 Vets'!G15</f>
        <v>113174.07</v>
      </c>
      <c r="H84" s="774">
        <f>+'543 Vets'!H15</f>
        <v>84869.32</v>
      </c>
      <c r="I84" s="774">
        <f>+'543 Vets'!I15</f>
        <v>74175.16</v>
      </c>
      <c r="J84" s="774">
        <f>+'543 Vets'!J15</f>
        <v>74474.489999999991</v>
      </c>
      <c r="K84" s="796">
        <f>+'543 Vets'!L15</f>
        <v>73756.39</v>
      </c>
      <c r="L84" s="796">
        <f>+'543 Vets'!M15</f>
        <v>87800</v>
      </c>
      <c r="M84" s="774">
        <f>ROUND((+'543 Vets'!O15),0)</f>
        <v>76500</v>
      </c>
      <c r="N84" s="774">
        <f>ROUND((+'543 Vets'!P15),0)</f>
        <v>76500</v>
      </c>
      <c r="P84" s="777"/>
      <c r="Q84" s="778"/>
      <c r="R84" s="779"/>
      <c r="S84" s="769"/>
      <c r="T84" s="769"/>
      <c r="U84" s="769"/>
      <c r="V84" s="769"/>
      <c r="W84" s="746"/>
    </row>
    <row r="85" spans="1:24" x14ac:dyDescent="0.25">
      <c r="C85" s="774"/>
      <c r="D85" s="774"/>
      <c r="E85" s="774"/>
      <c r="F85" s="774"/>
      <c r="G85" s="774"/>
      <c r="H85" s="774"/>
      <c r="I85" s="774"/>
      <c r="J85" s="774"/>
      <c r="M85" s="774"/>
      <c r="Q85" s="774"/>
      <c r="R85" s="769"/>
      <c r="S85" s="769"/>
      <c r="T85" s="769"/>
      <c r="U85" s="769"/>
      <c r="V85" s="769"/>
      <c r="W85" s="746"/>
    </row>
    <row r="86" spans="1:24" x14ac:dyDescent="0.25">
      <c r="B86" s="769" t="s">
        <v>312</v>
      </c>
      <c r="C86" s="774">
        <f>SUM(C67:C85)</f>
        <v>4990384.1099999994</v>
      </c>
      <c r="D86" s="774">
        <f>SUM(D67:D85)</f>
        <v>5417889.7599999998</v>
      </c>
      <c r="E86" s="774">
        <f>SUM(E67:E85)</f>
        <v>5678724.1900000004</v>
      </c>
      <c r="F86" s="774">
        <f>SUM(F67:F85)</f>
        <v>5567330.8500000006</v>
      </c>
      <c r="G86" s="774">
        <f>SUM(G67:G85)</f>
        <v>5740038.0699999994</v>
      </c>
      <c r="H86" s="774">
        <f t="shared" ref="H86:M86" si="11">SUM(H82:H85)</f>
        <v>259938.04</v>
      </c>
      <c r="I86" s="774">
        <f t="shared" si="11"/>
        <v>247468.2</v>
      </c>
      <c r="J86" s="774">
        <f t="shared" si="11"/>
        <v>239117.81</v>
      </c>
      <c r="K86" s="796">
        <f>SUM(K82:K85)</f>
        <v>248351.65999999997</v>
      </c>
      <c r="L86" s="796">
        <f>SUM(L82:L85)</f>
        <v>294645</v>
      </c>
      <c r="M86" s="774">
        <f t="shared" si="11"/>
        <v>295827</v>
      </c>
      <c r="N86" s="774">
        <f t="shared" ref="N86" si="12">SUM(N82:N85)</f>
        <v>295827</v>
      </c>
      <c r="O86" s="773"/>
      <c r="Q86" s="774"/>
      <c r="R86" s="769"/>
      <c r="S86" s="769"/>
      <c r="T86" s="769"/>
      <c r="U86" s="769"/>
      <c r="V86" s="769"/>
      <c r="W86" s="746"/>
    </row>
    <row r="87" spans="1:24" x14ac:dyDescent="0.25">
      <c r="C87" s="774"/>
      <c r="D87" s="774"/>
      <c r="E87" s="774"/>
      <c r="F87" s="774"/>
      <c r="G87" s="774"/>
      <c r="H87" s="774"/>
      <c r="I87" s="774"/>
      <c r="J87" s="774"/>
      <c r="M87" s="774"/>
      <c r="O87" s="773"/>
      <c r="Q87" s="774"/>
      <c r="R87" s="769"/>
      <c r="S87" s="769"/>
      <c r="T87" s="769"/>
      <c r="U87" s="769"/>
      <c r="V87" s="769"/>
      <c r="W87" s="746"/>
    </row>
    <row r="88" spans="1:24" x14ac:dyDescent="0.25">
      <c r="B88" s="769" t="s">
        <v>313</v>
      </c>
      <c r="C88" s="774"/>
      <c r="D88" s="774"/>
      <c r="E88" s="774"/>
      <c r="F88" s="774"/>
      <c r="G88" s="774"/>
      <c r="H88" s="774"/>
      <c r="I88" s="774"/>
      <c r="J88" s="774"/>
      <c r="M88" s="774"/>
      <c r="O88" s="773"/>
      <c r="Q88" s="774"/>
      <c r="R88" s="769"/>
      <c r="S88" s="769"/>
      <c r="T88" s="769"/>
      <c r="U88" s="769"/>
      <c r="V88" s="769"/>
      <c r="W88" s="746"/>
    </row>
    <row r="89" spans="1:24" x14ac:dyDescent="0.25">
      <c r="A89" s="956">
        <v>610</v>
      </c>
      <c r="B89" s="769" t="s">
        <v>314</v>
      </c>
      <c r="C89" s="774">
        <f>+'610 Library'!C44</f>
        <v>303901</v>
      </c>
      <c r="D89" s="774">
        <f>+'610 Library'!D44</f>
        <v>325233</v>
      </c>
      <c r="E89" s="774">
        <f>+'610 Library'!E44</f>
        <v>337643</v>
      </c>
      <c r="F89" s="774">
        <f>+'610 Library'!F44</f>
        <v>351149.00000000006</v>
      </c>
      <c r="G89" s="774">
        <f>+'610 Library'!G44</f>
        <v>364970</v>
      </c>
      <c r="H89" s="774">
        <f>+'610 Library'!H44</f>
        <v>386328.00000000006</v>
      </c>
      <c r="I89" s="774">
        <f>+'610 Library'!I44</f>
        <v>401962</v>
      </c>
      <c r="J89" s="774">
        <f>+'610 Library'!J44</f>
        <v>411071</v>
      </c>
      <c r="K89" s="796">
        <f>+'610 Library'!L44</f>
        <v>426453.92999999993</v>
      </c>
      <c r="L89" s="796">
        <f>+'610 Library'!M44</f>
        <v>437744</v>
      </c>
      <c r="M89" s="774">
        <f>ROUND((+'610 Library'!O44),0)</f>
        <v>452485</v>
      </c>
      <c r="N89" s="774">
        <f>ROUND((+'610 Library'!P44),0)</f>
        <v>452485</v>
      </c>
      <c r="Q89" s="774"/>
      <c r="R89" s="769"/>
      <c r="S89" s="769"/>
      <c r="T89" s="769"/>
      <c r="U89" s="769"/>
      <c r="V89" s="769"/>
      <c r="W89" s="746"/>
    </row>
    <row r="90" spans="1:24" x14ac:dyDescent="0.25">
      <c r="A90" s="956">
        <v>630</v>
      </c>
      <c r="B90" s="769" t="s">
        <v>316</v>
      </c>
      <c r="C90" s="774">
        <f>+'630 Recreation'!C29</f>
        <v>93539.86</v>
      </c>
      <c r="D90" s="774">
        <f>+'630 Recreation'!D29</f>
        <v>101235.73999999999</v>
      </c>
      <c r="E90" s="774">
        <f>+'630 Recreation'!E29</f>
        <v>104042.40999999999</v>
      </c>
      <c r="F90" s="774">
        <f>+'630 Recreation'!F29</f>
        <v>116111.64</v>
      </c>
      <c r="G90" s="774">
        <f>+'630 Recreation'!G29</f>
        <v>120911.25</v>
      </c>
      <c r="H90" s="774">
        <f>+'630 Recreation'!H29</f>
        <v>128193.00000000001</v>
      </c>
      <c r="I90" s="774">
        <f>+'630 Recreation'!I29</f>
        <v>130539.37</v>
      </c>
      <c r="J90" s="774">
        <f>+'630 Recreation'!J29</f>
        <v>141325.91</v>
      </c>
      <c r="K90" s="796">
        <f>+'630 Recreation'!L29</f>
        <v>143294.66999999998</v>
      </c>
      <c r="L90" s="796">
        <f>+'630 Recreation'!M29</f>
        <v>147944</v>
      </c>
      <c r="M90" s="774">
        <f>ROUND((+'630 Recreation'!O29),0)</f>
        <v>150081</v>
      </c>
      <c r="N90" s="774">
        <f>ROUND((+'630 Recreation'!P29),0)</f>
        <v>150081</v>
      </c>
      <c r="Q90" s="774"/>
      <c r="R90" s="769"/>
      <c r="S90" s="769"/>
      <c r="T90" s="769"/>
      <c r="U90" s="769"/>
      <c r="V90" s="769"/>
      <c r="W90" s="746"/>
    </row>
    <row r="91" spans="1:24" x14ac:dyDescent="0.25">
      <c r="A91" s="956">
        <v>691</v>
      </c>
      <c r="B91" s="769" t="s">
        <v>357</v>
      </c>
      <c r="C91" s="774">
        <f>+'691 Historical Comm'!C15</f>
        <v>253.28</v>
      </c>
      <c r="D91" s="774">
        <f>+'691 Historical Comm'!D15</f>
        <v>0</v>
      </c>
      <c r="E91" s="774">
        <f>+'691 Historical Comm'!E15</f>
        <v>434.33</v>
      </c>
      <c r="F91" s="774">
        <f>+'691 Historical Comm'!F15</f>
        <v>0</v>
      </c>
      <c r="G91" s="774">
        <f>+'691 Historical Comm'!G15</f>
        <v>0</v>
      </c>
      <c r="H91" s="774">
        <f>+'691 Historical Comm'!H15</f>
        <v>253.19</v>
      </c>
      <c r="I91" s="774">
        <f>+'691 Historical Comm'!I15</f>
        <v>0</v>
      </c>
      <c r="J91" s="774">
        <f>+'691 Historical Comm'!J15</f>
        <v>0</v>
      </c>
      <c r="K91" s="796">
        <f>+'691 Historical Comm'!L15</f>
        <v>500</v>
      </c>
      <c r="L91" s="796">
        <f>+'691 Historical Comm'!M15</f>
        <v>500</v>
      </c>
      <c r="M91" s="774">
        <f>ROUND((+'691 Historical Comm'!O15),0)</f>
        <v>500</v>
      </c>
      <c r="N91" s="774">
        <f>ROUND((+'691 Historical Comm'!P15),0)</f>
        <v>500</v>
      </c>
      <c r="Q91" s="774"/>
      <c r="R91" s="769"/>
      <c r="S91" s="769"/>
      <c r="T91" s="769"/>
      <c r="U91" s="769"/>
      <c r="V91" s="769"/>
      <c r="W91" s="746"/>
    </row>
    <row r="92" spans="1:24" x14ac:dyDescent="0.25">
      <c r="A92" s="956">
        <v>693</v>
      </c>
      <c r="B92" s="769" t="s">
        <v>317</v>
      </c>
      <c r="C92" s="774">
        <f>+'693 Memorials'!C14</f>
        <v>1230.25</v>
      </c>
      <c r="D92" s="774">
        <f>+'693 Memorials'!D14</f>
        <v>819.41</v>
      </c>
      <c r="E92" s="774">
        <f>+'693 Memorials'!E14</f>
        <v>1049.43</v>
      </c>
      <c r="F92" s="774">
        <f>+'693 Memorials'!F14</f>
        <v>1189.6199999999999</v>
      </c>
      <c r="G92" s="774">
        <f>+'693 Memorials'!G14</f>
        <v>1188.96</v>
      </c>
      <c r="H92" s="774">
        <f>+'693 Memorials'!H14</f>
        <v>1200</v>
      </c>
      <c r="I92" s="774">
        <f>+'693 Memorials'!I14</f>
        <v>800.77</v>
      </c>
      <c r="J92" s="774">
        <f>+'693 Memorials'!J14</f>
        <v>937.62</v>
      </c>
      <c r="K92" s="796">
        <f>+'693 Memorials'!L14</f>
        <v>791.89</v>
      </c>
      <c r="L92" s="796">
        <f>+'693 Memorials'!M14</f>
        <v>1300</v>
      </c>
      <c r="M92" s="774">
        <f>ROUND((+'693 Memorials'!O14),0)</f>
        <v>1300</v>
      </c>
      <c r="N92" s="774">
        <f>ROUND((+'693 Memorials'!P14),0)</f>
        <v>1300</v>
      </c>
      <c r="Q92" s="774"/>
      <c r="R92" s="769"/>
      <c r="S92" s="769"/>
      <c r="T92" s="769"/>
      <c r="U92" s="769"/>
      <c r="V92" s="769"/>
      <c r="W92" s="746"/>
    </row>
    <row r="93" spans="1:24" x14ac:dyDescent="0.25">
      <c r="C93" s="774"/>
      <c r="D93" s="774"/>
      <c r="E93" s="774"/>
      <c r="F93" s="774"/>
      <c r="G93" s="774"/>
      <c r="H93" s="774"/>
      <c r="I93" s="774"/>
      <c r="J93" s="774"/>
      <c r="M93" s="774"/>
      <c r="Q93" s="774"/>
      <c r="R93" s="769"/>
      <c r="S93" s="769"/>
      <c r="T93" s="769"/>
      <c r="U93" s="769"/>
      <c r="V93" s="769"/>
      <c r="W93" s="746"/>
    </row>
    <row r="94" spans="1:24" x14ac:dyDescent="0.25">
      <c r="B94" s="769" t="s">
        <v>319</v>
      </c>
      <c r="C94" s="774">
        <f t="shared" ref="C94:M94" si="13">SUM(C89:C93)</f>
        <v>398924.39</v>
      </c>
      <c r="D94" s="774">
        <f t="shared" si="13"/>
        <v>427288.14999999997</v>
      </c>
      <c r="E94" s="774">
        <f t="shared" si="13"/>
        <v>443169.17</v>
      </c>
      <c r="F94" s="774">
        <f t="shared" si="13"/>
        <v>468450.26000000007</v>
      </c>
      <c r="G94" s="774">
        <f t="shared" si="13"/>
        <v>487070.21</v>
      </c>
      <c r="H94" s="774">
        <f t="shared" si="13"/>
        <v>515974.19000000006</v>
      </c>
      <c r="I94" s="774">
        <f t="shared" si="13"/>
        <v>533302.14</v>
      </c>
      <c r="J94" s="774">
        <f t="shared" ref="J94" si="14">SUM(J89:J93)</f>
        <v>553334.53</v>
      </c>
      <c r="K94" s="796">
        <f>SUM(K89:K93)</f>
        <v>571040.48999999987</v>
      </c>
      <c r="L94" s="796">
        <f>SUM(L89:L93)</f>
        <v>587488</v>
      </c>
      <c r="M94" s="774">
        <f t="shared" si="13"/>
        <v>604366</v>
      </c>
      <c r="N94" s="774">
        <f t="shared" ref="N94" si="15">SUM(N89:N93)</f>
        <v>604366</v>
      </c>
      <c r="O94" s="773"/>
      <c r="Q94" s="774"/>
      <c r="R94" s="769"/>
      <c r="S94" s="769"/>
      <c r="T94" s="769"/>
      <c r="U94" s="769"/>
      <c r="V94" s="769"/>
      <c r="W94" s="746"/>
    </row>
    <row r="95" spans="1:24" x14ac:dyDescent="0.25">
      <c r="C95" s="774"/>
      <c r="D95" s="774"/>
      <c r="E95" s="774"/>
      <c r="F95" s="774"/>
      <c r="G95" s="774"/>
      <c r="H95" s="774"/>
      <c r="I95" s="774"/>
      <c r="J95" s="774"/>
      <c r="M95" s="774"/>
      <c r="O95" s="773"/>
      <c r="Q95" s="774"/>
      <c r="R95" s="769"/>
      <c r="S95" s="769"/>
      <c r="T95" s="769"/>
      <c r="U95" s="769"/>
      <c r="V95" s="769"/>
      <c r="W95" s="746"/>
    </row>
    <row r="96" spans="1:24" x14ac:dyDescent="0.25">
      <c r="B96" s="769" t="s">
        <v>320</v>
      </c>
      <c r="C96" s="774"/>
      <c r="D96" s="774"/>
      <c r="E96" s="774"/>
      <c r="F96" s="774"/>
      <c r="G96" s="774"/>
      <c r="H96" s="774"/>
      <c r="I96" s="774"/>
      <c r="J96" s="774"/>
      <c r="M96" s="774"/>
      <c r="O96" s="773"/>
      <c r="Q96" s="774"/>
      <c r="R96" s="769"/>
      <c r="S96" s="769"/>
      <c r="T96" s="769"/>
      <c r="U96" s="769"/>
      <c r="V96" s="769"/>
      <c r="W96" s="746"/>
    </row>
    <row r="97" spans="1:23" x14ac:dyDescent="0.25">
      <c r="A97" s="956">
        <v>700</v>
      </c>
      <c r="B97" s="769" t="s">
        <v>320</v>
      </c>
      <c r="C97" s="774">
        <f>+'700 Debt '!C64</f>
        <v>624059.19999999995</v>
      </c>
      <c r="D97" s="774">
        <f>+'700 Debt '!D64</f>
        <v>627106.03000000014</v>
      </c>
      <c r="E97" s="774">
        <f>+'700 Debt '!E64</f>
        <v>653275.82999999996</v>
      </c>
      <c r="F97" s="774">
        <f>+'700 Debt '!F64</f>
        <v>651031.29</v>
      </c>
      <c r="G97" s="774">
        <f>+'700 Debt '!G64</f>
        <v>655052.56000000006</v>
      </c>
      <c r="H97" s="774">
        <f>+'700 Debt '!H64</f>
        <v>630911.34</v>
      </c>
      <c r="I97" s="774">
        <f>+'700 Debt '!I64</f>
        <v>625348.28</v>
      </c>
      <c r="J97" s="774">
        <f>+'700 Debt '!J64</f>
        <v>824346.28999999992</v>
      </c>
      <c r="K97" s="796">
        <f>+'700 Debt '!L64</f>
        <v>1057873.57</v>
      </c>
      <c r="L97" s="796">
        <f>+'700 Debt '!M64</f>
        <v>1066809</v>
      </c>
      <c r="M97" s="774">
        <f>ROUND((+'700 Debt '!O64),0)</f>
        <v>1162189</v>
      </c>
      <c r="N97" s="774">
        <f>ROUND((+'700 Debt '!P64),0)</f>
        <v>1162189</v>
      </c>
      <c r="Q97" s="774"/>
      <c r="R97" s="769"/>
      <c r="S97" s="769"/>
      <c r="T97" s="769"/>
      <c r="U97" s="769"/>
      <c r="V97" s="769"/>
      <c r="W97" s="746"/>
    </row>
    <row r="98" spans="1:23" x14ac:dyDescent="0.25">
      <c r="C98" s="774"/>
      <c r="D98" s="774"/>
      <c r="E98" s="774"/>
      <c r="F98" s="774"/>
      <c r="G98" s="774"/>
      <c r="H98" s="774"/>
      <c r="I98" s="774"/>
      <c r="J98" s="774"/>
      <c r="M98" s="774"/>
      <c r="O98" s="773"/>
      <c r="Q98" s="774"/>
      <c r="R98" s="769"/>
      <c r="S98" s="769"/>
      <c r="T98" s="769"/>
      <c r="U98" s="769"/>
      <c r="V98" s="769"/>
      <c r="W98" s="746"/>
    </row>
    <row r="99" spans="1:23" x14ac:dyDescent="0.25">
      <c r="B99" s="769" t="s">
        <v>321</v>
      </c>
      <c r="C99" s="774"/>
      <c r="D99" s="774"/>
      <c r="E99" s="774"/>
      <c r="F99" s="774"/>
      <c r="G99" s="774"/>
      <c r="H99" s="774"/>
      <c r="I99" s="774"/>
      <c r="J99" s="774"/>
      <c r="M99" s="774"/>
      <c r="O99" s="773"/>
      <c r="Q99" s="774"/>
      <c r="R99" s="769"/>
      <c r="S99" s="769"/>
      <c r="T99" s="769"/>
      <c r="U99" s="769"/>
      <c r="V99" s="769"/>
      <c r="W99" s="746"/>
    </row>
    <row r="100" spans="1:23" x14ac:dyDescent="0.25">
      <c r="A100" s="956">
        <v>840</v>
      </c>
      <c r="B100" s="769" t="s">
        <v>321</v>
      </c>
      <c r="C100" s="774">
        <f>+'840 Intergovt'!C15</f>
        <v>83074.820000000007</v>
      </c>
      <c r="D100" s="774">
        <f>+'840 Intergovt'!D15</f>
        <v>87874.209999999992</v>
      </c>
      <c r="E100" s="774">
        <f>+'840 Intergovt'!E15</f>
        <v>71938.12</v>
      </c>
      <c r="F100" s="774">
        <f>+'840 Intergovt'!F15</f>
        <v>94258.209999999992</v>
      </c>
      <c r="G100" s="774">
        <f>+'840 Intergovt'!G15</f>
        <v>92495.299999999988</v>
      </c>
      <c r="H100" s="774">
        <f>+'840 Intergovt'!H15</f>
        <v>99251.89</v>
      </c>
      <c r="I100" s="774">
        <f>+'840 Intergovt'!I15</f>
        <v>100824.36000000002</v>
      </c>
      <c r="J100" s="774">
        <f>+'840 Intergovt'!J15</f>
        <v>104701.44</v>
      </c>
      <c r="K100" s="796">
        <f>+'840 Intergovt'!L15</f>
        <v>111175.8</v>
      </c>
      <c r="L100" s="796">
        <f>+'840 Intergovt'!M15</f>
        <v>110720</v>
      </c>
      <c r="M100" s="774">
        <f>ROUND((+'840 Intergovt'!O15),0)</f>
        <v>110647</v>
      </c>
      <c r="N100" s="774">
        <f>ROUND((+'840 Intergovt'!P15),0)</f>
        <v>110647</v>
      </c>
      <c r="Q100" s="774"/>
      <c r="R100" s="769"/>
      <c r="S100" s="769"/>
      <c r="T100" s="769"/>
      <c r="U100" s="769"/>
      <c r="V100" s="769"/>
      <c r="W100" s="746"/>
    </row>
    <row r="101" spans="1:23" x14ac:dyDescent="0.25">
      <c r="C101" s="774"/>
      <c r="D101" s="774"/>
      <c r="E101" s="774"/>
      <c r="F101" s="774"/>
      <c r="G101" s="774"/>
      <c r="H101" s="774"/>
      <c r="I101" s="774"/>
      <c r="J101" s="774"/>
      <c r="M101" s="774"/>
      <c r="O101" s="773"/>
      <c r="Q101" s="774"/>
      <c r="R101" s="769"/>
      <c r="S101" s="769"/>
      <c r="T101" s="769"/>
      <c r="U101" s="769"/>
      <c r="V101" s="769"/>
      <c r="W101" s="746"/>
    </row>
    <row r="102" spans="1:23" x14ac:dyDescent="0.25">
      <c r="B102" s="769" t="s">
        <v>323</v>
      </c>
      <c r="C102" s="774"/>
      <c r="D102" s="774"/>
      <c r="E102" s="774"/>
      <c r="F102" s="774"/>
      <c r="G102" s="774"/>
      <c r="H102" s="774"/>
      <c r="I102" s="774"/>
      <c r="J102" s="774"/>
      <c r="M102" s="774"/>
      <c r="O102" s="773"/>
      <c r="Q102" s="774"/>
      <c r="R102" s="769"/>
      <c r="S102" s="769"/>
      <c r="T102" s="769"/>
      <c r="U102" s="769"/>
      <c r="V102" s="769"/>
      <c r="W102" s="746"/>
    </row>
    <row r="103" spans="1:23" x14ac:dyDescent="0.25">
      <c r="A103" s="956">
        <v>910</v>
      </c>
      <c r="B103" s="769" t="s">
        <v>324</v>
      </c>
      <c r="C103" s="774">
        <f>+'910 Benefits'!C20</f>
        <v>1760819.2100000002</v>
      </c>
      <c r="D103" s="774">
        <f>+'910 Benefits'!D20</f>
        <v>1730791.4</v>
      </c>
      <c r="E103" s="774">
        <f>+'910 Benefits'!E20</f>
        <v>1748594.09</v>
      </c>
      <c r="F103" s="774">
        <f>+'910 Benefits'!F20</f>
        <v>1789352.1499999997</v>
      </c>
      <c r="G103" s="774">
        <f>+'910 Benefits'!G20</f>
        <v>1878957.3699999999</v>
      </c>
      <c r="H103" s="774">
        <f>+'910 Benefits'!H20</f>
        <v>2008426.33</v>
      </c>
      <c r="I103" s="774">
        <f>+'910 Benefits'!I20</f>
        <v>2068987.7100000002</v>
      </c>
      <c r="J103" s="774">
        <f>+'910 Benefits'!J20</f>
        <v>2040807.01</v>
      </c>
      <c r="K103" s="796">
        <f>+'910 Benefits'!L20</f>
        <v>2116132.61</v>
      </c>
      <c r="L103" s="796">
        <f>+'910 Benefits'!M20</f>
        <v>2397861</v>
      </c>
      <c r="M103" s="774">
        <f>ROUND((+'910 Benefits'!O20),0)</f>
        <v>2391280</v>
      </c>
      <c r="N103" s="774">
        <f>ROUND((+'910 Benefits'!P20),0)</f>
        <v>2391280</v>
      </c>
      <c r="Q103" s="774"/>
      <c r="R103" s="769"/>
      <c r="S103" s="769"/>
      <c r="T103" s="769"/>
      <c r="U103" s="769"/>
      <c r="V103" s="769"/>
      <c r="W103" s="746"/>
    </row>
    <row r="104" spans="1:23" x14ac:dyDescent="0.25">
      <c r="A104" s="956">
        <v>946</v>
      </c>
      <c r="B104" s="769" t="s">
        <v>567</v>
      </c>
      <c r="C104" s="774">
        <f>+'946 Insurance'!C20</f>
        <v>63586.85</v>
      </c>
      <c r="D104" s="774">
        <f>+'946 Insurance'!D20</f>
        <v>81915.03</v>
      </c>
      <c r="E104" s="774">
        <f>+'946 Insurance'!E20</f>
        <v>90801.61</v>
      </c>
      <c r="F104" s="774">
        <f>+'946 Insurance'!F20</f>
        <v>84898.93</v>
      </c>
      <c r="G104" s="774">
        <f>+'946 Insurance'!G20</f>
        <v>87959.99</v>
      </c>
      <c r="H104" s="774">
        <f>+'946 Insurance'!H20</f>
        <v>95065.72</v>
      </c>
      <c r="I104" s="774">
        <f>+'946 Insurance'!I20</f>
        <v>85911.72</v>
      </c>
      <c r="J104" s="774">
        <f>+'946 Insurance'!J20</f>
        <v>92318.19</v>
      </c>
      <c r="K104" s="796">
        <f>+'946 Insurance'!L20</f>
        <v>108176.48</v>
      </c>
      <c r="L104" s="796">
        <f>+'946 Insurance'!M20</f>
        <v>115000</v>
      </c>
      <c r="M104" s="774">
        <f>ROUND((+'946 Insurance'!O20),0)</f>
        <v>119600</v>
      </c>
      <c r="N104" s="774">
        <f>ROUND((+'946 Insurance'!P20),0)</f>
        <v>119600</v>
      </c>
      <c r="Q104" s="774"/>
      <c r="R104" s="769"/>
      <c r="S104" s="769"/>
      <c r="T104" s="769"/>
      <c r="U104" s="769"/>
      <c r="V104" s="769"/>
      <c r="W104" s="746"/>
    </row>
    <row r="105" spans="1:23" x14ac:dyDescent="0.25">
      <c r="C105" s="774"/>
      <c r="D105" s="774"/>
      <c r="E105" s="774"/>
      <c r="F105" s="774"/>
      <c r="G105" s="774"/>
      <c r="H105" s="774"/>
      <c r="I105" s="774"/>
      <c r="J105" s="774"/>
      <c r="M105" s="774"/>
      <c r="Q105" s="774"/>
      <c r="W105" s="746"/>
    </row>
    <row r="106" spans="1:23" x14ac:dyDescent="0.25">
      <c r="B106" s="769" t="s">
        <v>327</v>
      </c>
      <c r="C106" s="774">
        <f t="shared" ref="C106:M106" si="16">SUM(C103:C105)</f>
        <v>1824406.0600000003</v>
      </c>
      <c r="D106" s="774">
        <f t="shared" si="16"/>
        <v>1812706.43</v>
      </c>
      <c r="E106" s="774">
        <f t="shared" si="16"/>
        <v>1839395.7000000002</v>
      </c>
      <c r="F106" s="774">
        <f t="shared" si="16"/>
        <v>1874251.0799999996</v>
      </c>
      <c r="G106" s="774">
        <f t="shared" si="16"/>
        <v>1966917.3599999999</v>
      </c>
      <c r="H106" s="774">
        <f t="shared" si="16"/>
        <v>2103492.0500000003</v>
      </c>
      <c r="I106" s="774">
        <f t="shared" si="16"/>
        <v>2154899.4300000002</v>
      </c>
      <c r="J106" s="774">
        <f t="shared" ref="J106" si="17">SUM(J103:J105)</f>
        <v>2133125.2000000002</v>
      </c>
      <c r="K106" s="796">
        <f>SUM(K103:K105)</f>
        <v>2224309.09</v>
      </c>
      <c r="L106" s="796">
        <f>SUM(L103:L105)</f>
        <v>2512861</v>
      </c>
      <c r="M106" s="774">
        <f t="shared" si="16"/>
        <v>2510880</v>
      </c>
      <c r="N106" s="774">
        <f t="shared" ref="N106" si="18">SUM(N103:N105)</f>
        <v>2510880</v>
      </c>
      <c r="O106" s="773"/>
      <c r="Q106" s="774"/>
      <c r="W106" s="746"/>
    </row>
    <row r="107" spans="1:23" x14ac:dyDescent="0.25">
      <c r="C107" s="774"/>
      <c r="D107" s="774"/>
      <c r="E107" s="774"/>
      <c r="F107" s="774"/>
      <c r="G107" s="774"/>
      <c r="H107" s="774"/>
      <c r="I107" s="774"/>
      <c r="J107" s="774"/>
      <c r="M107" s="774"/>
      <c r="P107" s="772"/>
      <c r="Q107" s="771"/>
      <c r="R107" s="772"/>
      <c r="S107" s="772"/>
      <c r="W107" s="746"/>
    </row>
    <row r="108" spans="1:23" x14ac:dyDescent="0.25">
      <c r="B108" s="769" t="s">
        <v>100</v>
      </c>
      <c r="C108" s="774">
        <f t="shared" ref="C108:I108" si="19">+C106+C100+C97+C94+C86+C78+C68+C54</f>
        <v>12084463.180000002</v>
      </c>
      <c r="D108" s="774">
        <f t="shared" si="19"/>
        <v>12777510.58</v>
      </c>
      <c r="E108" s="774">
        <f t="shared" si="19"/>
        <v>13383528.830000002</v>
      </c>
      <c r="F108" s="774">
        <f t="shared" si="19"/>
        <v>13349472.070000002</v>
      </c>
      <c r="G108" s="774">
        <f t="shared" si="19"/>
        <v>13837192.480000002</v>
      </c>
      <c r="H108" s="774">
        <f t="shared" si="19"/>
        <v>8513643.1699999999</v>
      </c>
      <c r="I108" s="774">
        <f t="shared" si="19"/>
        <v>8909959.6699999999</v>
      </c>
      <c r="J108" s="774">
        <f t="shared" ref="J108" si="20">+J106+J100+J97+J94+J86+J78+J68+J54</f>
        <v>9298542.5800000001</v>
      </c>
      <c r="K108" s="796">
        <f>+K106+K100+K97+K94+K86+K78+K68+K54</f>
        <v>9687884.8300000001</v>
      </c>
      <c r="L108" s="796">
        <f>+L106+L100+L97+L94+L86+L78+L68+L54</f>
        <v>10771020</v>
      </c>
      <c r="M108" s="774">
        <f>ROUND((+M106+M100+M97+M94+M86+M78+M68+M54),)</f>
        <v>11176944</v>
      </c>
      <c r="N108" s="774">
        <f t="shared" ref="N108" si="21">ROUND((+N106+N100+N97+N94+N86+N78+N68+N54),)</f>
        <v>11176944</v>
      </c>
      <c r="O108" s="774">
        <f>+N108-P108-Q108</f>
        <v>11176931</v>
      </c>
      <c r="Q108" s="774">
        <f>+'Revenue Projections Detail'!L64</f>
        <v>13</v>
      </c>
      <c r="S108" s="773">
        <f>SUM(S36:S107)</f>
        <v>0</v>
      </c>
      <c r="T108" s="773">
        <f>SUM(T36:T107)</f>
        <v>0</v>
      </c>
      <c r="U108" s="773">
        <f>SUM(U36:U107)</f>
        <v>0</v>
      </c>
      <c r="V108" s="773">
        <f>SUM(V36:V107)</f>
        <v>0</v>
      </c>
      <c r="W108" s="746"/>
    </row>
    <row r="109" spans="1:23" x14ac:dyDescent="0.25">
      <c r="B109" s="773"/>
      <c r="C109" s="774"/>
      <c r="D109" s="774"/>
      <c r="E109" s="774"/>
      <c r="F109" s="774"/>
      <c r="G109" s="774"/>
      <c r="H109" s="774"/>
      <c r="I109" s="774"/>
      <c r="J109" s="774"/>
      <c r="M109" s="774"/>
      <c r="N109" s="778"/>
      <c r="O109" s="773"/>
      <c r="P109" s="774"/>
      <c r="Q109" s="774"/>
      <c r="W109" s="746"/>
    </row>
    <row r="110" spans="1:23" x14ac:dyDescent="0.25">
      <c r="B110" s="769" t="s">
        <v>329</v>
      </c>
      <c r="C110" s="774"/>
      <c r="D110" s="774"/>
      <c r="E110" s="774"/>
      <c r="F110" s="774"/>
      <c r="G110" s="774"/>
      <c r="H110" s="774"/>
      <c r="I110" s="774"/>
      <c r="J110" s="774"/>
      <c r="M110" s="774"/>
      <c r="N110" s="778"/>
      <c r="O110" s="773"/>
      <c r="Q110" s="774"/>
      <c r="W110" s="746"/>
    </row>
    <row r="111" spans="1:23" x14ac:dyDescent="0.25">
      <c r="A111" s="956">
        <v>440</v>
      </c>
      <c r="B111" s="769" t="s">
        <v>568</v>
      </c>
      <c r="C111" s="774">
        <f>+'661 440 WPCF'!C64</f>
        <v>1232852.1600000001</v>
      </c>
      <c r="D111" s="774">
        <f>+'661 440 WPCF'!D64</f>
        <v>1332110.5999999999</v>
      </c>
      <c r="E111" s="774">
        <f>+'661 440 WPCF'!E64</f>
        <v>1415714.64</v>
      </c>
      <c r="F111" s="774">
        <f>+'661 440 WPCF'!F64</f>
        <v>1411128.35</v>
      </c>
      <c r="G111" s="774">
        <f>+'661 440 WPCF'!G64</f>
        <v>1411401.52</v>
      </c>
      <c r="H111" s="774">
        <f>+'661 440 WPCF'!H64</f>
        <v>1459773.7000000002</v>
      </c>
      <c r="I111" s="774">
        <f>+'661 440 WPCF'!I64</f>
        <v>1523345.5699999998</v>
      </c>
      <c r="J111" s="774">
        <f>+'661 440 WPCF'!J64</f>
        <v>1546577.2100000002</v>
      </c>
      <c r="K111" s="796">
        <f>+'661 440 WPCF'!L64</f>
        <v>1480090.73</v>
      </c>
      <c r="L111" s="796">
        <f>+'661 440 WPCF'!M64</f>
        <v>1751791</v>
      </c>
      <c r="M111" s="774">
        <f>ROUND((+'661 440 WPCF'!O64),0)-M112</f>
        <v>1898655</v>
      </c>
      <c r="N111" s="778">
        <f>+'661 440 WPCF'!P64-N112</f>
        <v>1957155</v>
      </c>
      <c r="Q111" s="774"/>
      <c r="W111" s="746"/>
    </row>
    <row r="112" spans="1:23" x14ac:dyDescent="0.25">
      <c r="A112" s="956"/>
      <c r="B112" s="769" t="s">
        <v>1575</v>
      </c>
      <c r="C112" s="774"/>
      <c r="D112" s="774"/>
      <c r="E112" s="774"/>
      <c r="F112" s="774"/>
      <c r="G112" s="774"/>
      <c r="H112" s="774"/>
      <c r="I112" s="774"/>
      <c r="J112" s="774"/>
      <c r="M112" s="774">
        <f>+'661 440 WPCF'!O61</f>
        <v>58500</v>
      </c>
      <c r="N112" s="774">
        <f>+'661 440 WPCF'!P61</f>
        <v>0</v>
      </c>
      <c r="Q112" s="774"/>
      <c r="W112" s="746"/>
    </row>
    <row r="113" spans="1:25" x14ac:dyDescent="0.25">
      <c r="A113" s="956">
        <v>449</v>
      </c>
      <c r="B113" s="769" t="s">
        <v>427</v>
      </c>
      <c r="C113" s="774">
        <f>+'661 449 Hwy'!C27</f>
        <v>24510.879999999997</v>
      </c>
      <c r="D113" s="774">
        <f>+'661 449 Hwy'!D27</f>
        <v>17339.32</v>
      </c>
      <c r="E113" s="774">
        <f>+'661 449 Hwy'!E27</f>
        <v>41678.6</v>
      </c>
      <c r="F113" s="774">
        <f>+'661 449 Hwy'!F27</f>
        <v>53420.14</v>
      </c>
      <c r="G113" s="774">
        <f>+'661 449 Hwy'!G27</f>
        <v>19605.989999999998</v>
      </c>
      <c r="H113" s="774">
        <f>+'661 449 Hwy'!H27</f>
        <v>19157.71</v>
      </c>
      <c r="I113" s="774">
        <f>+'661 449 Hwy'!I27</f>
        <v>26987.78</v>
      </c>
      <c r="J113" s="774">
        <f>+'661 449 Hwy'!J27</f>
        <v>11306.64</v>
      </c>
      <c r="K113" s="796">
        <f>+'661 449 Hwy'!L27</f>
        <v>27083.379999999997</v>
      </c>
      <c r="L113" s="796">
        <f>+'661 449 Hwy'!M27</f>
        <v>50800</v>
      </c>
      <c r="M113" s="774">
        <f>ROUND((+'661 449 Hwy'!O27),0)</f>
        <v>50800</v>
      </c>
      <c r="N113" s="778">
        <f>+'661 449 Hwy'!P27</f>
        <v>50800</v>
      </c>
      <c r="Q113" s="774"/>
      <c r="W113" s="746"/>
    </row>
    <row r="114" spans="1:25" x14ac:dyDescent="0.25">
      <c r="A114" s="956">
        <v>700</v>
      </c>
      <c r="B114" s="769" t="s">
        <v>360</v>
      </c>
      <c r="C114" s="774">
        <f>+'661 700 WPCF Debt'!C61</f>
        <v>339561.32000000007</v>
      </c>
      <c r="D114" s="774">
        <f>+'661 700 WPCF Debt'!D61</f>
        <v>333169.57</v>
      </c>
      <c r="E114" s="774">
        <f>+'661 700 WPCF Debt'!E61</f>
        <v>430365.07</v>
      </c>
      <c r="F114" s="774">
        <f>+'661 700 WPCF Debt'!F61</f>
        <v>426045.84</v>
      </c>
      <c r="G114" s="774">
        <f>+'661 700 WPCF Debt'!G61</f>
        <v>432071.62</v>
      </c>
      <c r="H114" s="774">
        <f>+'661 700 WPCF Debt'!H61</f>
        <v>363646.25</v>
      </c>
      <c r="I114" s="774">
        <f>+'661 700 WPCF Debt'!I61</f>
        <v>363127.97</v>
      </c>
      <c r="J114" s="774">
        <f>+'661 700 WPCF Debt'!J61</f>
        <v>513019.85</v>
      </c>
      <c r="K114" s="796">
        <f>+'661 700 WPCF Debt'!L61</f>
        <v>495060.53</v>
      </c>
      <c r="L114" s="796">
        <f>+'661 700 WPCF Debt'!M61</f>
        <v>514047</v>
      </c>
      <c r="M114" s="774">
        <f>ROUND((+'661 700 WPCF Debt'!O61),0)</f>
        <v>505270</v>
      </c>
      <c r="N114" s="778">
        <f>+M114</f>
        <v>505270</v>
      </c>
      <c r="Q114" s="774"/>
      <c r="W114" s="746"/>
    </row>
    <row r="115" spans="1:25" x14ac:dyDescent="0.25">
      <c r="A115" s="956">
        <v>910</v>
      </c>
      <c r="B115" s="769" t="s">
        <v>530</v>
      </c>
      <c r="C115" s="774">
        <f>+'661 910 WPCF Benefits'!C18</f>
        <v>162428.75000000003</v>
      </c>
      <c r="D115" s="774">
        <f>+'661 910 WPCF Benefits'!D18</f>
        <v>160893.16</v>
      </c>
      <c r="E115" s="774">
        <f>+'661 910 WPCF Benefits'!E18</f>
        <v>181400.05999999997</v>
      </c>
      <c r="F115" s="774">
        <f>+'661 910 WPCF Benefits'!F18</f>
        <v>194173.2</v>
      </c>
      <c r="G115" s="774">
        <f>+'661 910 WPCF Benefits'!G18</f>
        <v>221112.49</v>
      </c>
      <c r="H115" s="774">
        <f>+'661 910 WPCF Benefits'!H18</f>
        <v>224380.71000000002</v>
      </c>
      <c r="I115" s="774">
        <f>+'661 910 WPCF Benefits'!I18</f>
        <v>234658.48</v>
      </c>
      <c r="J115" s="774">
        <f>+'661 910 WPCF Benefits'!J18</f>
        <v>225455.12</v>
      </c>
      <c r="K115" s="796">
        <f>+'661 910 WPCF Benefits'!L18</f>
        <v>222372.35</v>
      </c>
      <c r="L115" s="796">
        <f>+'661 910 WPCF Benefits'!M18</f>
        <v>270333</v>
      </c>
      <c r="M115" s="774">
        <f>ROUND((+'661 910 WPCF Benefits'!O18),)</f>
        <v>359152</v>
      </c>
      <c r="N115" s="778">
        <f>+M115</f>
        <v>359152</v>
      </c>
      <c r="Q115" s="774"/>
      <c r="W115" s="746"/>
    </row>
    <row r="116" spans="1:25" x14ac:dyDescent="0.25">
      <c r="C116" s="774"/>
      <c r="D116" s="774"/>
      <c r="E116" s="774"/>
      <c r="F116" s="774"/>
      <c r="G116" s="774"/>
      <c r="H116" s="774"/>
      <c r="I116" s="774"/>
      <c r="J116" s="774"/>
      <c r="M116" s="774"/>
      <c r="N116" s="778"/>
      <c r="P116" s="772"/>
      <c r="Q116" s="771"/>
      <c r="R116" s="772"/>
      <c r="S116" s="772"/>
      <c r="W116" s="746"/>
    </row>
    <row r="117" spans="1:25" x14ac:dyDescent="0.25">
      <c r="B117" s="769" t="s">
        <v>331</v>
      </c>
      <c r="C117" s="774">
        <f t="shared" ref="C117:N117" si="22">SUM(C111:C116)</f>
        <v>1759353.11</v>
      </c>
      <c r="D117" s="774">
        <f t="shared" si="22"/>
        <v>1843512.65</v>
      </c>
      <c r="E117" s="774">
        <f t="shared" si="22"/>
        <v>2069158.37</v>
      </c>
      <c r="F117" s="774">
        <f t="shared" si="22"/>
        <v>2084767.53</v>
      </c>
      <c r="G117" s="774">
        <f t="shared" si="22"/>
        <v>2084191.6199999999</v>
      </c>
      <c r="H117" s="774">
        <f t="shared" si="22"/>
        <v>2066958.37</v>
      </c>
      <c r="I117" s="774">
        <f t="shared" si="22"/>
        <v>2148119.7999999998</v>
      </c>
      <c r="J117" s="774">
        <f t="shared" si="22"/>
        <v>2296358.8200000003</v>
      </c>
      <c r="K117" s="796">
        <f>SUM(K111:K116)</f>
        <v>2224606.9899999998</v>
      </c>
      <c r="L117" s="796">
        <f>SUM(L111:L116)</f>
        <v>2586971</v>
      </c>
      <c r="M117" s="774">
        <f t="shared" si="22"/>
        <v>2872377</v>
      </c>
      <c r="N117" s="778">
        <f t="shared" si="22"/>
        <v>2872377</v>
      </c>
      <c r="O117" s="777">
        <f>+'Tax share WPCF'!C42</f>
        <v>266439</v>
      </c>
      <c r="Q117" s="774"/>
      <c r="U117" s="773">
        <f>+M117-O117</f>
        <v>2605938</v>
      </c>
      <c r="W117" s="746"/>
    </row>
    <row r="118" spans="1:25" x14ac:dyDescent="0.25">
      <c r="C118" s="774"/>
      <c r="D118" s="774"/>
      <c r="E118" s="774"/>
      <c r="F118" s="774"/>
      <c r="G118" s="774"/>
      <c r="H118" s="774"/>
      <c r="I118" s="774"/>
      <c r="J118" s="774"/>
      <c r="M118" s="774"/>
      <c r="N118" s="778"/>
      <c r="O118" s="773"/>
      <c r="Q118" s="774"/>
      <c r="W118" s="746"/>
    </row>
    <row r="119" spans="1:25" x14ac:dyDescent="0.25">
      <c r="C119" s="774"/>
      <c r="D119" s="774"/>
      <c r="E119" s="774"/>
      <c r="F119" s="774"/>
      <c r="G119" s="774"/>
      <c r="H119" s="774"/>
      <c r="I119" s="774"/>
      <c r="J119" s="774"/>
      <c r="M119" s="774"/>
      <c r="N119" s="778"/>
      <c r="O119" s="773"/>
      <c r="Q119" s="774"/>
      <c r="W119" s="746"/>
    </row>
    <row r="120" spans="1:25" x14ac:dyDescent="0.25">
      <c r="A120" s="956">
        <v>482</v>
      </c>
      <c r="B120" s="769" t="s">
        <v>370</v>
      </c>
      <c r="C120" s="774">
        <f>+'600 482 Airport'!C42</f>
        <v>36905.490000000005</v>
      </c>
      <c r="D120" s="774">
        <f>+'600 482 Airport'!D42</f>
        <v>44653.43</v>
      </c>
      <c r="E120" s="774">
        <f>+'600 482 Airport'!E42</f>
        <v>45769.880000000005</v>
      </c>
      <c r="F120" s="774">
        <f>+'600 482 Airport'!F42</f>
        <v>44520.340000000011</v>
      </c>
      <c r="G120" s="774">
        <f>+'600 482 Airport'!G42</f>
        <v>51918.03</v>
      </c>
      <c r="H120" s="774">
        <f>+'600 482 Airport'!H42</f>
        <v>48770.28</v>
      </c>
      <c r="I120" s="774">
        <f>+'600 482 Airport'!I42</f>
        <v>48391.540000000008</v>
      </c>
      <c r="J120" s="774">
        <f>+'600 482 Airport'!J42</f>
        <v>39812.629999999997</v>
      </c>
      <c r="K120" s="796">
        <f>+'600 482 Airport'!L42</f>
        <v>95493.999999999985</v>
      </c>
      <c r="L120" s="796">
        <f>+'600 482 Airport'!M42</f>
        <v>156483</v>
      </c>
      <c r="M120" s="774">
        <f>ROUND((+'600 482 Airport'!O42),0)</f>
        <v>181794</v>
      </c>
      <c r="N120" s="778">
        <f>+M120</f>
        <v>181794</v>
      </c>
      <c r="Q120" s="774"/>
      <c r="W120" s="746"/>
    </row>
    <row r="121" spans="1:25" x14ac:dyDescent="0.25">
      <c r="A121" s="956">
        <v>700</v>
      </c>
      <c r="B121" s="769" t="s">
        <v>1537</v>
      </c>
      <c r="C121" s="774"/>
      <c r="D121" s="774"/>
      <c r="E121" s="774"/>
      <c r="F121" s="774"/>
      <c r="G121" s="774"/>
      <c r="H121" s="774"/>
      <c r="I121" s="774"/>
      <c r="J121" s="774"/>
      <c r="M121" s="774">
        <f>+'600-700 Airport Debt'!O21</f>
        <v>101120</v>
      </c>
      <c r="N121" s="774">
        <f>+'600-700 Airport Debt'!P21</f>
        <v>101120</v>
      </c>
      <c r="Q121" s="774"/>
      <c r="W121" s="746"/>
    </row>
    <row r="122" spans="1:25" x14ac:dyDescent="0.25">
      <c r="A122" s="956">
        <v>910</v>
      </c>
      <c r="B122" s="769" t="s">
        <v>1538</v>
      </c>
      <c r="C122" s="774"/>
      <c r="D122" s="774"/>
      <c r="E122" s="774"/>
      <c r="F122" s="774"/>
      <c r="G122" s="774"/>
      <c r="H122" s="774"/>
      <c r="I122" s="774"/>
      <c r="J122" s="774"/>
      <c r="M122" s="774">
        <f>+'600-900 Airport Benefits'!O18</f>
        <v>33101</v>
      </c>
      <c r="N122" s="774">
        <f>+'600-900 Airport Benefits'!Q18</f>
        <v>33101</v>
      </c>
      <c r="Q122" s="774"/>
      <c r="W122" s="746"/>
    </row>
    <row r="123" spans="1:25" x14ac:dyDescent="0.25">
      <c r="A123" s="956"/>
      <c r="C123" s="774"/>
      <c r="D123" s="774"/>
      <c r="E123" s="774"/>
      <c r="F123" s="774"/>
      <c r="G123" s="774"/>
      <c r="H123" s="774"/>
      <c r="I123" s="774"/>
      <c r="J123" s="774"/>
      <c r="M123" s="774"/>
      <c r="N123" s="778"/>
      <c r="Q123" s="774"/>
      <c r="W123" s="746"/>
    </row>
    <row r="124" spans="1:25" x14ac:dyDescent="0.25">
      <c r="A124" s="956"/>
      <c r="B124" s="769" t="s">
        <v>463</v>
      </c>
      <c r="C124" s="774"/>
      <c r="D124" s="774"/>
      <c r="E124" s="774"/>
      <c r="F124" s="774"/>
      <c r="G124" s="774"/>
      <c r="H124" s="774"/>
      <c r="I124" s="774"/>
      <c r="J124" s="774"/>
      <c r="M124" s="774">
        <f>SUM(M120:M123)</f>
        <v>316015</v>
      </c>
      <c r="N124" s="774">
        <f>SUM(N120:N123)</f>
        <v>316015</v>
      </c>
      <c r="Q124" s="774"/>
      <c r="V124" s="773">
        <f>+N124</f>
        <v>316015</v>
      </c>
      <c r="W124" s="746"/>
    </row>
    <row r="125" spans="1:25" x14ac:dyDescent="0.25">
      <c r="C125" s="774"/>
      <c r="D125" s="774"/>
      <c r="E125" s="774"/>
      <c r="F125" s="774"/>
      <c r="G125" s="774"/>
      <c r="H125" s="774"/>
      <c r="I125" s="774"/>
      <c r="J125" s="774"/>
      <c r="M125" s="774"/>
      <c r="O125" s="773"/>
      <c r="Q125" s="774"/>
      <c r="W125" s="746"/>
    </row>
    <row r="126" spans="1:25" x14ac:dyDescent="0.25">
      <c r="A126" s="958">
        <v>300</v>
      </c>
      <c r="B126" s="769" t="s">
        <v>332</v>
      </c>
      <c r="C126" s="774"/>
      <c r="D126" s="774"/>
      <c r="E126" s="774"/>
      <c r="F126" s="774"/>
      <c r="G126" s="774"/>
      <c r="H126" s="774"/>
      <c r="I126" s="774"/>
      <c r="J126" s="774"/>
      <c r="M126" s="774"/>
      <c r="O126" s="773"/>
      <c r="Q126" s="774"/>
      <c r="W126" s="746"/>
    </row>
    <row r="127" spans="1:25" ht="15.6" x14ac:dyDescent="0.3">
      <c r="B127" s="769" t="s">
        <v>333</v>
      </c>
      <c r="C127" s="774">
        <f>+'300 Schools'!C11</f>
        <v>737865</v>
      </c>
      <c r="D127" s="774">
        <f>+'300 Schools'!D11</f>
        <v>731659</v>
      </c>
      <c r="E127" s="774">
        <f>+'300 Schools'!E11</f>
        <v>682601</v>
      </c>
      <c r="F127" s="774">
        <f>+'300 Schools'!F11</f>
        <v>760615</v>
      </c>
      <c r="G127" s="774">
        <f>+'300 Schools'!G11</f>
        <v>659356</v>
      </c>
      <c r="H127" s="774">
        <f>+'300 Schools'!H11</f>
        <v>747340</v>
      </c>
      <c r="I127" s="774">
        <f>+'300 Schools'!I11</f>
        <v>974337.89</v>
      </c>
      <c r="J127" s="774">
        <f>+'300 Schools'!J11</f>
        <v>1085003.6299999999</v>
      </c>
      <c r="K127" s="796">
        <f>+'300 Schools'!L11</f>
        <v>1255455.8400000001</v>
      </c>
      <c r="L127" s="796">
        <f>+'300 Schools'!M11</f>
        <v>1221005</v>
      </c>
      <c r="M127" s="774">
        <f>ROUND((+'300 Schools'!O11),0)</f>
        <v>1029566</v>
      </c>
      <c r="N127" s="774">
        <f>+M127</f>
        <v>1029566</v>
      </c>
      <c r="O127" s="773">
        <f>+M127-S127</f>
        <v>1029566</v>
      </c>
      <c r="Q127" s="778">
        <f>+Q18</f>
        <v>0</v>
      </c>
      <c r="W127" s="746"/>
      <c r="X127" s="1144"/>
      <c r="Y127" s="120"/>
    </row>
    <row r="128" spans="1:25" x14ac:dyDescent="0.25">
      <c r="B128" s="769" t="s">
        <v>334</v>
      </c>
      <c r="C128" s="774">
        <f>+'300 Schools'!C14</f>
        <v>7850604</v>
      </c>
      <c r="D128" s="774">
        <f>+'300 Schools'!D14</f>
        <v>7965557</v>
      </c>
      <c r="E128" s="774">
        <f>+'300 Schools'!E14</f>
        <v>8293458</v>
      </c>
      <c r="F128" s="774">
        <f>+'300 Schools'!F14</f>
        <v>8498343</v>
      </c>
      <c r="G128" s="774">
        <f>+'300 Schools'!G14</f>
        <v>8852114</v>
      </c>
      <c r="H128" s="774">
        <f>+'300 Schools'!H14</f>
        <v>9356560</v>
      </c>
      <c r="I128" s="774">
        <f>+'300 Schools'!I14</f>
        <v>9811160</v>
      </c>
      <c r="J128" s="774">
        <f>+'300 Schools'!J14</f>
        <v>10229737</v>
      </c>
      <c r="K128" s="796">
        <f>+'300 Schools'!L14</f>
        <v>10732268</v>
      </c>
      <c r="L128" s="796">
        <f>+'300 Schools'!M14</f>
        <v>10950854</v>
      </c>
      <c r="M128" s="774">
        <f>ROUND((+'300 Schools'!O14),0)</f>
        <v>11341466</v>
      </c>
      <c r="N128" s="774">
        <f>+M128</f>
        <v>11341466</v>
      </c>
      <c r="O128" s="774">
        <f>+N128-P128</f>
        <v>11341466</v>
      </c>
      <c r="Q128" s="774"/>
      <c r="R128" s="773">
        <f>+'Revenue Projections Detail'!D67</f>
        <v>0</v>
      </c>
      <c r="W128" s="746"/>
    </row>
    <row r="129" spans="1:23" x14ac:dyDescent="0.25">
      <c r="B129" s="769" t="s">
        <v>190</v>
      </c>
      <c r="C129" s="774">
        <f t="shared" ref="C129:O129" si="23">SUM(C127:C128)</f>
        <v>8588469</v>
      </c>
      <c r="D129" s="774">
        <f t="shared" si="23"/>
        <v>8697216</v>
      </c>
      <c r="E129" s="774">
        <f t="shared" si="23"/>
        <v>8976059</v>
      </c>
      <c r="F129" s="774">
        <f t="shared" si="23"/>
        <v>9258958</v>
      </c>
      <c r="G129" s="774">
        <f t="shared" si="23"/>
        <v>9511470</v>
      </c>
      <c r="H129" s="774">
        <f t="shared" si="23"/>
        <v>10103900</v>
      </c>
      <c r="I129" s="774">
        <f t="shared" si="23"/>
        <v>10785497.890000001</v>
      </c>
      <c r="J129" s="774">
        <f t="shared" ref="J129" si="24">SUM(J127:J128)</f>
        <v>11314740.629999999</v>
      </c>
      <c r="K129" s="796">
        <f>SUM(K127:K128)</f>
        <v>11987723.84</v>
      </c>
      <c r="L129" s="796">
        <f>SUM(L127:L128)</f>
        <v>12171859</v>
      </c>
      <c r="M129" s="774">
        <f t="shared" si="23"/>
        <v>12371032</v>
      </c>
      <c r="N129" s="774">
        <f t="shared" si="23"/>
        <v>12371032</v>
      </c>
      <c r="O129" s="774">
        <f t="shared" si="23"/>
        <v>12371032</v>
      </c>
      <c r="P129" s="773">
        <f>+P128</f>
        <v>0</v>
      </c>
      <c r="Q129" s="773">
        <f t="shared" ref="Q129:V129" si="25">SUM(Q127:Q128)</f>
        <v>0</v>
      </c>
      <c r="R129" s="773">
        <f t="shared" si="25"/>
        <v>0</v>
      </c>
      <c r="S129" s="773">
        <f t="shared" si="25"/>
        <v>0</v>
      </c>
      <c r="T129" s="773">
        <f t="shared" si="25"/>
        <v>0</v>
      </c>
      <c r="U129" s="773">
        <f t="shared" si="25"/>
        <v>0</v>
      </c>
      <c r="V129" s="773">
        <f t="shared" si="25"/>
        <v>0</v>
      </c>
      <c r="W129" s="746"/>
    </row>
    <row r="130" spans="1:23" x14ac:dyDescent="0.25">
      <c r="B130" s="773"/>
      <c r="C130" s="774"/>
      <c r="D130" s="774"/>
      <c r="E130" s="774"/>
      <c r="F130" s="774"/>
      <c r="G130" s="774"/>
      <c r="H130" s="774"/>
      <c r="I130" s="774"/>
      <c r="J130" s="774"/>
      <c r="M130" s="774"/>
      <c r="O130" s="773"/>
      <c r="W130" s="746"/>
    </row>
    <row r="131" spans="1:23" x14ac:dyDescent="0.25">
      <c r="B131" s="769" t="s">
        <v>402</v>
      </c>
      <c r="C131" s="774"/>
      <c r="D131" s="774"/>
      <c r="E131" s="774"/>
      <c r="F131" s="774"/>
      <c r="G131" s="774"/>
      <c r="H131" s="774"/>
      <c r="I131" s="774"/>
      <c r="J131" s="774"/>
      <c r="M131" s="774"/>
      <c r="O131" s="773">
        <f>+M131</f>
        <v>0</v>
      </c>
      <c r="W131" s="746"/>
    </row>
    <row r="132" spans="1:23" x14ac:dyDescent="0.25">
      <c r="C132" s="774"/>
      <c r="D132" s="774"/>
      <c r="E132" s="774"/>
      <c r="F132" s="774"/>
      <c r="G132" s="774"/>
      <c r="H132" s="774"/>
      <c r="I132" s="774"/>
      <c r="J132" s="774"/>
      <c r="M132" s="774"/>
      <c r="O132" s="773"/>
      <c r="P132" s="772"/>
      <c r="Q132" s="771"/>
      <c r="R132" s="772"/>
      <c r="S132" s="772"/>
      <c r="W132" s="746"/>
    </row>
    <row r="133" spans="1:23" x14ac:dyDescent="0.25">
      <c r="B133" s="769" t="s">
        <v>328</v>
      </c>
      <c r="C133" s="774">
        <f t="shared" ref="C133:J133" si="26">+C129+C117+C108+C120+C131</f>
        <v>22469190.779999997</v>
      </c>
      <c r="D133" s="774">
        <f t="shared" si="26"/>
        <v>23362892.66</v>
      </c>
      <c r="E133" s="774">
        <f t="shared" si="26"/>
        <v>24474516.080000002</v>
      </c>
      <c r="F133" s="774">
        <f t="shared" si="26"/>
        <v>24737717.940000001</v>
      </c>
      <c r="G133" s="774">
        <f t="shared" si="26"/>
        <v>25484772.130000003</v>
      </c>
      <c r="H133" s="774">
        <f t="shared" si="26"/>
        <v>20733271.82</v>
      </c>
      <c r="I133" s="774">
        <f t="shared" si="26"/>
        <v>21891968.899999999</v>
      </c>
      <c r="J133" s="774">
        <f t="shared" si="26"/>
        <v>22949454.66</v>
      </c>
      <c r="K133" s="796">
        <f>+K129+K117+K108+K120+K131</f>
        <v>23995709.66</v>
      </c>
      <c r="L133" s="796">
        <f>+L129+L117+L108+L120+L131</f>
        <v>25686333</v>
      </c>
      <c r="M133" s="774">
        <f>+M129+M117+M108+M124+M131</f>
        <v>26736368</v>
      </c>
      <c r="N133" s="774">
        <f>ROUND((+N129+N117+N108+N124+N131),0)</f>
        <v>26736368</v>
      </c>
      <c r="O133" s="773">
        <f>+O129+O117+O108+O120+O131</f>
        <v>23814402</v>
      </c>
      <c r="P133" s="774">
        <f>+P129+P117+P108+P120+P131</f>
        <v>0</v>
      </c>
      <c r="Q133" s="773">
        <f>+Q129+Q117+Q108+Q120</f>
        <v>13</v>
      </c>
      <c r="R133" s="773">
        <f>+R129+R117+R108+R120</f>
        <v>0</v>
      </c>
      <c r="S133" s="773">
        <f>+S129+S117+S108+S120</f>
        <v>0</v>
      </c>
      <c r="T133" s="773">
        <f>+T129+T117+T108+T120</f>
        <v>0</v>
      </c>
      <c r="U133" s="773">
        <f>+U129+U117+U108+U120</f>
        <v>2605938</v>
      </c>
      <c r="V133" s="773">
        <f>+V129+V117+V108+V120+V124</f>
        <v>316015</v>
      </c>
      <c r="W133" s="746"/>
    </row>
    <row r="134" spans="1:23" x14ac:dyDescent="0.25">
      <c r="M134" s="774"/>
      <c r="O134" s="773"/>
      <c r="W134" s="746"/>
    </row>
    <row r="135" spans="1:23" x14ac:dyDescent="0.25">
      <c r="M135" s="774"/>
      <c r="O135" s="773"/>
      <c r="Q135" s="774"/>
      <c r="W135" s="746"/>
    </row>
    <row r="136" spans="1:23" x14ac:dyDescent="0.25">
      <c r="B136" s="769" t="s">
        <v>954</v>
      </c>
      <c r="I136" s="770" t="s">
        <v>906</v>
      </c>
      <c r="J136" s="771" t="s">
        <v>907</v>
      </c>
      <c r="K136" s="795" t="s">
        <v>908</v>
      </c>
      <c r="L136" s="771" t="s">
        <v>909</v>
      </c>
      <c r="M136" s="771" t="s">
        <v>910</v>
      </c>
      <c r="N136" s="771" t="s">
        <v>910</v>
      </c>
      <c r="O136" s="771"/>
      <c r="P136" s="772"/>
      <c r="Q136" s="771"/>
      <c r="R136" s="772"/>
      <c r="S136" s="772"/>
      <c r="T136" s="772"/>
      <c r="U136" s="772"/>
      <c r="V136" s="772"/>
      <c r="W136" s="746"/>
    </row>
    <row r="137" spans="1:23" x14ac:dyDescent="0.25">
      <c r="K137" s="799"/>
      <c r="L137" s="799"/>
      <c r="M137" s="778"/>
      <c r="O137" s="773"/>
      <c r="P137" s="772"/>
      <c r="Q137" s="771"/>
      <c r="R137" s="772"/>
      <c r="S137" s="772"/>
      <c r="T137" s="772"/>
      <c r="U137" s="772"/>
      <c r="V137" s="772"/>
      <c r="W137" s="746"/>
    </row>
    <row r="138" spans="1:23" x14ac:dyDescent="0.25">
      <c r="A138" s="959"/>
      <c r="B138" s="769" t="s">
        <v>980</v>
      </c>
      <c r="K138" s="799"/>
      <c r="L138" s="799"/>
      <c r="M138" s="778"/>
      <c r="O138" s="773"/>
      <c r="P138" s="772"/>
      <c r="Q138" s="771"/>
      <c r="R138" s="772"/>
      <c r="S138" s="772"/>
      <c r="T138" s="772"/>
      <c r="U138" s="772"/>
      <c r="V138" s="772"/>
      <c r="W138" s="746"/>
    </row>
    <row r="139" spans="1:23" ht="15.6" x14ac:dyDescent="0.3">
      <c r="K139" s="799"/>
      <c r="L139" s="799"/>
      <c r="M139" s="778"/>
      <c r="N139" s="780"/>
      <c r="O139" s="781"/>
      <c r="P139" s="772"/>
      <c r="Q139" s="771"/>
      <c r="R139" s="772"/>
      <c r="S139" s="772"/>
      <c r="T139" s="772"/>
      <c r="U139" s="772"/>
      <c r="V139" s="772"/>
      <c r="W139" s="746"/>
    </row>
    <row r="140" spans="1:23" ht="15.6" x14ac:dyDescent="0.3">
      <c r="B140" s="782" t="s">
        <v>955</v>
      </c>
      <c r="C140" s="782"/>
      <c r="D140" s="782"/>
      <c r="E140" s="782"/>
      <c r="F140" s="782"/>
      <c r="G140" s="782"/>
      <c r="H140" s="782"/>
      <c r="I140" s="782"/>
      <c r="J140" s="782"/>
      <c r="M140" s="774"/>
      <c r="N140" s="780"/>
      <c r="O140" s="781"/>
      <c r="P140" s="772"/>
      <c r="Q140" s="771"/>
      <c r="R140" s="772"/>
      <c r="S140" s="772"/>
      <c r="T140" s="772"/>
      <c r="U140" s="772"/>
      <c r="V140" s="772"/>
      <c r="W140" s="746"/>
    </row>
    <row r="141" spans="1:23" x14ac:dyDescent="0.25">
      <c r="B141" s="769" t="s">
        <v>1019</v>
      </c>
      <c r="I141" s="773">
        <v>50000</v>
      </c>
      <c r="J141" s="773">
        <v>50000</v>
      </c>
      <c r="K141" s="796">
        <v>50000</v>
      </c>
      <c r="L141" s="778">
        <v>50000</v>
      </c>
      <c r="M141" s="773">
        <v>50000</v>
      </c>
      <c r="N141" s="778">
        <v>50000</v>
      </c>
      <c r="O141" s="777">
        <f>+L141</f>
        <v>50000</v>
      </c>
      <c r="P141" s="783"/>
      <c r="Q141" s="771"/>
      <c r="R141" s="772"/>
      <c r="S141" s="772"/>
      <c r="T141" s="772"/>
      <c r="U141" s="772"/>
      <c r="V141" s="772"/>
      <c r="W141" s="746"/>
    </row>
    <row r="142" spans="1:23" x14ac:dyDescent="0.25">
      <c r="B142" s="769" t="s">
        <v>1403</v>
      </c>
      <c r="I142" s="773"/>
      <c r="J142" s="773"/>
      <c r="K142" s="796">
        <v>68000</v>
      </c>
      <c r="L142" s="778"/>
      <c r="N142" s="778"/>
      <c r="O142" s="777"/>
      <c r="P142" s="783">
        <f>+L142</f>
        <v>0</v>
      </c>
      <c r="Q142" s="771"/>
      <c r="R142" s="772"/>
      <c r="S142" s="772"/>
      <c r="T142" s="772"/>
      <c r="U142" s="772"/>
      <c r="V142" s="772"/>
      <c r="W142" s="746"/>
    </row>
    <row r="143" spans="1:23" x14ac:dyDescent="0.25">
      <c r="B143" s="769" t="s">
        <v>801</v>
      </c>
      <c r="C143" s="768"/>
      <c r="D143" s="768"/>
      <c r="E143" s="768"/>
      <c r="F143" s="768"/>
      <c r="G143" s="768"/>
      <c r="H143" s="768"/>
      <c r="I143" s="784">
        <v>36144</v>
      </c>
      <c r="J143" s="784">
        <v>39237</v>
      </c>
      <c r="K143" s="796">
        <v>40651</v>
      </c>
      <c r="L143" s="778">
        <v>42976</v>
      </c>
      <c r="M143" s="773">
        <f>+N143</f>
        <v>44960</v>
      </c>
      <c r="N143" s="778">
        <f>ROUND((+'Financial Policy Numbers'!C58),0)</f>
        <v>44960</v>
      </c>
      <c r="O143" s="778">
        <f>+N143</f>
        <v>44960</v>
      </c>
      <c r="P143" s="783"/>
      <c r="Q143" s="771"/>
      <c r="R143" s="772"/>
      <c r="S143" s="772"/>
      <c r="T143" s="772"/>
      <c r="U143" s="772"/>
      <c r="V143" s="772"/>
      <c r="W143" s="746"/>
    </row>
    <row r="144" spans="1:23" x14ac:dyDescent="0.25">
      <c r="B144" s="1116" t="s">
        <v>1041</v>
      </c>
      <c r="C144" s="1116"/>
      <c r="D144" s="1116"/>
      <c r="E144" s="1116"/>
      <c r="F144" s="1116"/>
      <c r="G144" s="1116"/>
      <c r="H144" s="1116"/>
      <c r="I144" s="1131">
        <v>54216</v>
      </c>
      <c r="J144" s="1131">
        <v>57654</v>
      </c>
      <c r="K144" s="1141">
        <v>61507</v>
      </c>
      <c r="L144" s="1118"/>
      <c r="M144" s="1131"/>
      <c r="N144" s="1118"/>
      <c r="O144" s="1118">
        <f>+N144</f>
        <v>0</v>
      </c>
      <c r="P144" s="783"/>
      <c r="Q144" s="771"/>
      <c r="R144" s="772"/>
      <c r="S144" s="772"/>
      <c r="T144" s="772"/>
      <c r="U144" s="772"/>
      <c r="V144" s="772"/>
      <c r="W144" s="746"/>
    </row>
    <row r="145" spans="2:23" x14ac:dyDescent="0.25">
      <c r="B145" s="779" t="s">
        <v>1076</v>
      </c>
      <c r="C145" s="779"/>
      <c r="D145" s="779"/>
      <c r="E145" s="779"/>
      <c r="F145" s="779"/>
      <c r="G145" s="779"/>
      <c r="H145" s="779"/>
      <c r="I145" s="777">
        <v>67510</v>
      </c>
      <c r="J145" s="777"/>
      <c r="L145" s="778"/>
      <c r="N145" s="778">
        <f>+M145</f>
        <v>0</v>
      </c>
      <c r="O145" s="778">
        <f>+N145</f>
        <v>0</v>
      </c>
      <c r="P145" s="783"/>
      <c r="Q145" s="771"/>
      <c r="R145" s="772"/>
      <c r="S145" s="772"/>
      <c r="T145" s="772"/>
      <c r="U145" s="772"/>
      <c r="V145" s="772"/>
      <c r="W145" s="746"/>
    </row>
    <row r="146" spans="2:23" x14ac:dyDescent="0.25">
      <c r="B146" s="779" t="s">
        <v>1911</v>
      </c>
      <c r="C146" s="779"/>
      <c r="D146" s="779"/>
      <c r="E146" s="779"/>
      <c r="F146" s="779"/>
      <c r="G146" s="779"/>
      <c r="H146" s="779"/>
      <c r="I146" s="777"/>
      <c r="J146" s="777">
        <v>5100</v>
      </c>
      <c r="K146" s="796">
        <v>68000</v>
      </c>
      <c r="L146" s="778"/>
      <c r="M146" s="773">
        <v>124356</v>
      </c>
      <c r="N146" s="778">
        <f>+M146</f>
        <v>124356</v>
      </c>
      <c r="O146" s="778">
        <f>+M146</f>
        <v>124356</v>
      </c>
      <c r="P146" s="783"/>
      <c r="Q146" s="771"/>
      <c r="R146" s="772"/>
      <c r="S146" s="772"/>
      <c r="T146" s="772"/>
      <c r="U146" s="772"/>
      <c r="V146" s="772"/>
      <c r="W146" s="746"/>
    </row>
    <row r="147" spans="2:23" x14ac:dyDescent="0.25">
      <c r="B147" s="779" t="s">
        <v>1239</v>
      </c>
      <c r="C147" s="779"/>
      <c r="D147" s="779"/>
      <c r="E147" s="779"/>
      <c r="F147" s="779"/>
      <c r="G147" s="779"/>
      <c r="H147" s="779"/>
      <c r="I147" s="777">
        <v>37811</v>
      </c>
      <c r="J147" s="777">
        <v>38507</v>
      </c>
      <c r="K147" s="796">
        <v>39185</v>
      </c>
      <c r="L147" s="778">
        <v>39890</v>
      </c>
      <c r="M147" s="773">
        <f>+N147</f>
        <v>40608</v>
      </c>
      <c r="N147" s="778">
        <f>ROUND((+'Revenue Projections Detail'!L101),0)</f>
        <v>40608</v>
      </c>
      <c r="O147" s="778">
        <f>+N147</f>
        <v>40608</v>
      </c>
      <c r="P147" s="783"/>
      <c r="Q147" s="771"/>
      <c r="R147" s="772"/>
      <c r="S147" s="772"/>
      <c r="T147" s="772"/>
      <c r="U147" s="772"/>
      <c r="V147" s="772"/>
      <c r="W147" s="746"/>
    </row>
    <row r="148" spans="2:23" x14ac:dyDescent="0.25">
      <c r="B148" s="779" t="s">
        <v>1238</v>
      </c>
      <c r="C148" s="779"/>
      <c r="D148" s="779"/>
      <c r="E148" s="779"/>
      <c r="F148" s="779"/>
      <c r="G148" s="779"/>
      <c r="H148" s="779"/>
      <c r="I148" s="777">
        <v>40150</v>
      </c>
      <c r="J148" s="777">
        <v>40889</v>
      </c>
      <c r="K148" s="799">
        <v>41608</v>
      </c>
      <c r="L148" s="778">
        <v>42357</v>
      </c>
      <c r="M148" s="773">
        <f>+N148</f>
        <v>43120</v>
      </c>
      <c r="N148" s="778">
        <f>ROUND((+'Revenue Projections Detail'!L99),0)</f>
        <v>43120</v>
      </c>
      <c r="O148" s="778">
        <f>+N148</f>
        <v>43120</v>
      </c>
      <c r="P148" s="772"/>
      <c r="Q148" s="771"/>
      <c r="R148" s="772"/>
      <c r="S148" s="772"/>
      <c r="T148" s="772"/>
      <c r="U148" s="772"/>
      <c r="V148" s="772"/>
      <c r="W148" s="746"/>
    </row>
    <row r="149" spans="2:23" x14ac:dyDescent="0.25">
      <c r="B149" s="779" t="s">
        <v>1238</v>
      </c>
      <c r="C149" s="779"/>
      <c r="D149" s="779"/>
      <c r="E149" s="779"/>
      <c r="F149" s="779"/>
      <c r="G149" s="779"/>
      <c r="H149" s="779"/>
      <c r="I149" s="777"/>
      <c r="J149" s="777">
        <v>40889</v>
      </c>
      <c r="K149" s="799">
        <v>41608</v>
      </c>
      <c r="L149" s="778">
        <v>42357</v>
      </c>
      <c r="M149" s="773">
        <f>+N149</f>
        <v>43120</v>
      </c>
      <c r="N149" s="778">
        <f>ROUND((+'Revenue Projections Detail'!L102),0)</f>
        <v>43120</v>
      </c>
      <c r="O149" s="778">
        <f>+N149</f>
        <v>43120</v>
      </c>
      <c r="P149" s="772"/>
      <c r="Q149" s="771"/>
      <c r="R149" s="772"/>
      <c r="S149" s="772"/>
      <c r="T149" s="772"/>
      <c r="U149" s="772"/>
      <c r="V149" s="772"/>
      <c r="W149" s="746"/>
    </row>
    <row r="150" spans="2:23" x14ac:dyDescent="0.25">
      <c r="B150" s="779" t="s">
        <v>1402</v>
      </c>
      <c r="C150" s="779"/>
      <c r="D150" s="779"/>
      <c r="E150" s="779"/>
      <c r="F150" s="779"/>
      <c r="G150" s="779"/>
      <c r="H150" s="779"/>
      <c r="I150" s="777"/>
      <c r="J150" s="777"/>
      <c r="K150" s="799">
        <v>118000</v>
      </c>
      <c r="L150" s="778"/>
      <c r="N150" s="778"/>
      <c r="O150" s="778"/>
      <c r="P150" s="772">
        <f>+L150</f>
        <v>0</v>
      </c>
      <c r="Q150" s="771"/>
      <c r="R150" s="772"/>
      <c r="S150" s="772"/>
      <c r="T150" s="772"/>
      <c r="U150" s="772"/>
      <c r="V150" s="772"/>
      <c r="W150" s="746"/>
    </row>
    <row r="151" spans="2:23" x14ac:dyDescent="0.25">
      <c r="B151" s="779" t="s">
        <v>1567</v>
      </c>
      <c r="C151" s="779"/>
      <c r="D151" s="779"/>
      <c r="E151" s="779"/>
      <c r="F151" s="779"/>
      <c r="G151" s="779"/>
      <c r="H151" s="779"/>
      <c r="I151" s="777"/>
      <c r="J151" s="777"/>
      <c r="K151" s="799"/>
      <c r="L151" s="778">
        <v>180000</v>
      </c>
      <c r="N151" s="778"/>
      <c r="O151" s="778"/>
      <c r="P151" s="783"/>
      <c r="Q151" s="789"/>
      <c r="R151" s="783"/>
      <c r="S151" s="783"/>
      <c r="T151" s="783"/>
      <c r="U151" s="783"/>
      <c r="V151" s="783"/>
      <c r="W151" s="746"/>
    </row>
    <row r="152" spans="2:23" x14ac:dyDescent="0.25">
      <c r="B152" s="779" t="s">
        <v>1436</v>
      </c>
      <c r="C152" s="779"/>
      <c r="D152" s="779"/>
      <c r="E152" s="779"/>
      <c r="F152" s="779"/>
      <c r="G152" s="779"/>
      <c r="H152" s="779"/>
      <c r="I152" s="777"/>
      <c r="J152" s="777"/>
      <c r="K152" s="799">
        <v>73652</v>
      </c>
      <c r="L152" s="778"/>
      <c r="N152" s="778"/>
      <c r="O152" s="778"/>
      <c r="P152" s="772"/>
      <c r="Q152" s="771"/>
      <c r="R152" s="772"/>
      <c r="S152" s="772"/>
      <c r="T152" s="772"/>
      <c r="U152" s="772"/>
      <c r="V152" s="772"/>
      <c r="W152" s="746"/>
    </row>
    <row r="153" spans="2:23" x14ac:dyDescent="0.25">
      <c r="B153" s="779" t="s">
        <v>1437</v>
      </c>
      <c r="C153" s="779"/>
      <c r="D153" s="779"/>
      <c r="E153" s="779"/>
      <c r="F153" s="779"/>
      <c r="G153" s="779"/>
      <c r="H153" s="779"/>
      <c r="I153" s="777"/>
      <c r="J153" s="777"/>
      <c r="K153" s="799">
        <v>35791</v>
      </c>
      <c r="L153" s="778"/>
      <c r="N153" s="778"/>
      <c r="O153" s="778"/>
      <c r="P153" s="772"/>
      <c r="Q153" s="771"/>
      <c r="R153" s="772"/>
      <c r="S153" s="772"/>
      <c r="T153" s="772"/>
      <c r="U153" s="772"/>
      <c r="V153" s="772"/>
      <c r="W153" s="746"/>
    </row>
    <row r="154" spans="2:23" x14ac:dyDescent="0.25">
      <c r="B154" s="779" t="s">
        <v>1680</v>
      </c>
      <c r="C154" s="779"/>
      <c r="D154" s="779"/>
      <c r="E154" s="779"/>
      <c r="F154" s="779"/>
      <c r="G154" s="779"/>
      <c r="H154" s="779"/>
      <c r="I154" s="777"/>
      <c r="J154" s="777"/>
      <c r="K154" s="799"/>
      <c r="L154" s="778"/>
      <c r="M154" s="777">
        <v>125000</v>
      </c>
      <c r="N154" s="778">
        <f>+M154</f>
        <v>125000</v>
      </c>
      <c r="O154" s="778"/>
      <c r="P154" s="772"/>
      <c r="Q154" s="771"/>
      <c r="R154" s="772">
        <f>+N154</f>
        <v>125000</v>
      </c>
      <c r="S154" s="772"/>
      <c r="T154" s="772"/>
      <c r="U154" s="772"/>
      <c r="V154" s="772"/>
      <c r="W154" s="746"/>
    </row>
    <row r="155" spans="2:23" x14ac:dyDescent="0.25">
      <c r="B155" s="779" t="s">
        <v>1681</v>
      </c>
      <c r="C155" s="779"/>
      <c r="D155" s="779"/>
      <c r="E155" s="779"/>
      <c r="F155" s="779"/>
      <c r="G155" s="779"/>
      <c r="H155" s="779"/>
      <c r="I155" s="777"/>
      <c r="J155" s="777"/>
      <c r="K155" s="799"/>
      <c r="L155" s="778"/>
      <c r="M155" s="777">
        <v>60000</v>
      </c>
      <c r="N155" s="778">
        <f>+M155</f>
        <v>60000</v>
      </c>
      <c r="O155" s="778"/>
      <c r="P155" s="772">
        <f>+N155</f>
        <v>60000</v>
      </c>
      <c r="Q155" s="771"/>
      <c r="R155" s="772"/>
      <c r="S155" s="772"/>
      <c r="T155" s="772"/>
      <c r="U155" s="772"/>
      <c r="V155" s="772"/>
      <c r="W155" s="746"/>
    </row>
    <row r="156" spans="2:23" hidden="1" x14ac:dyDescent="0.25">
      <c r="B156" s="779"/>
      <c r="C156" s="779"/>
      <c r="D156" s="779"/>
      <c r="E156" s="779"/>
      <c r="F156" s="779"/>
      <c r="G156" s="779"/>
      <c r="H156" s="779"/>
      <c r="I156" s="777"/>
      <c r="J156" s="777"/>
      <c r="K156" s="799"/>
      <c r="L156" s="778"/>
      <c r="M156" s="777"/>
      <c r="N156" s="778"/>
      <c r="O156" s="778"/>
      <c r="P156" s="772"/>
      <c r="Q156" s="771"/>
      <c r="R156" s="772"/>
      <c r="S156" s="772"/>
      <c r="T156" s="772"/>
      <c r="U156" s="772"/>
      <c r="V156" s="772"/>
      <c r="W156" s="746"/>
    </row>
    <row r="157" spans="2:23" x14ac:dyDescent="0.25">
      <c r="B157" s="769" t="s">
        <v>1240</v>
      </c>
      <c r="C157" s="779"/>
      <c r="D157" s="779"/>
      <c r="E157" s="779"/>
      <c r="F157" s="779"/>
      <c r="G157" s="779"/>
      <c r="H157" s="779"/>
      <c r="I157" s="777"/>
      <c r="J157" s="778">
        <v>16250</v>
      </c>
      <c r="K157" s="796">
        <v>16250</v>
      </c>
      <c r="L157" s="778"/>
      <c r="M157" s="777"/>
      <c r="N157" s="778"/>
      <c r="O157" s="777"/>
      <c r="P157" s="772"/>
      <c r="Q157" s="771"/>
      <c r="R157" s="772"/>
      <c r="S157" s="772"/>
      <c r="T157" s="772"/>
      <c r="U157" s="772"/>
      <c r="V157" s="772"/>
      <c r="W157" s="746"/>
    </row>
    <row r="158" spans="2:23" x14ac:dyDescent="0.25">
      <c r="B158" s="769" t="s">
        <v>1261</v>
      </c>
      <c r="C158" s="779"/>
      <c r="D158" s="779"/>
      <c r="E158" s="779"/>
      <c r="F158" s="779"/>
      <c r="G158" s="779"/>
      <c r="H158" s="779"/>
      <c r="I158" s="777"/>
      <c r="J158" s="778">
        <v>50000</v>
      </c>
      <c r="L158" s="778"/>
      <c r="M158" s="777"/>
      <c r="N158" s="778"/>
      <c r="O158" s="777"/>
      <c r="P158" s="772"/>
      <c r="Q158" s="771"/>
      <c r="R158" s="772"/>
      <c r="S158" s="772"/>
      <c r="T158" s="772"/>
      <c r="U158" s="772"/>
      <c r="V158" s="772"/>
      <c r="W158" s="746"/>
    </row>
    <row r="159" spans="2:23" x14ac:dyDescent="0.25">
      <c r="B159" s="769" t="s">
        <v>1240</v>
      </c>
      <c r="C159" s="779"/>
      <c r="D159" s="779"/>
      <c r="E159" s="779"/>
      <c r="F159" s="779"/>
      <c r="G159" s="779"/>
      <c r="H159" s="779"/>
      <c r="I159" s="777"/>
      <c r="J159" s="778"/>
      <c r="L159" s="778">
        <v>13130</v>
      </c>
      <c r="M159" s="777"/>
      <c r="N159" s="778"/>
      <c r="O159" s="777">
        <f>+N159</f>
        <v>0</v>
      </c>
      <c r="P159" s="772"/>
      <c r="Q159" s="771"/>
      <c r="R159" s="772"/>
      <c r="S159" s="772"/>
      <c r="T159" s="772"/>
      <c r="U159" s="772"/>
      <c r="V159" s="772"/>
      <c r="W159" s="746"/>
    </row>
    <row r="160" spans="2:23" x14ac:dyDescent="0.25">
      <c r="B160" s="769" t="s">
        <v>1444</v>
      </c>
      <c r="C160" s="779"/>
      <c r="D160" s="779"/>
      <c r="E160" s="779"/>
      <c r="F160" s="779"/>
      <c r="G160" s="779"/>
      <c r="H160" s="779"/>
      <c r="I160" s="777"/>
      <c r="J160" s="778"/>
      <c r="L160" s="778">
        <v>25000</v>
      </c>
      <c r="M160" s="777"/>
      <c r="N160" s="778"/>
      <c r="O160" s="777">
        <f>+N160</f>
        <v>0</v>
      </c>
      <c r="P160" s="772"/>
      <c r="Q160" s="771"/>
      <c r="R160" s="772"/>
      <c r="S160" s="772"/>
      <c r="T160" s="772"/>
      <c r="U160" s="772"/>
      <c r="V160" s="772"/>
      <c r="W160" s="746"/>
    </row>
    <row r="161" spans="2:23" x14ac:dyDescent="0.25">
      <c r="B161" s="769" t="s">
        <v>1445</v>
      </c>
      <c r="C161" s="779"/>
      <c r="D161" s="779"/>
      <c r="E161" s="779"/>
      <c r="F161" s="779"/>
      <c r="G161" s="779"/>
      <c r="H161" s="779"/>
      <c r="I161" s="777"/>
      <c r="J161" s="778"/>
      <c r="L161" s="778">
        <v>25000</v>
      </c>
      <c r="M161" s="777"/>
      <c r="N161" s="778"/>
      <c r="O161" s="777">
        <f>+N161</f>
        <v>0</v>
      </c>
      <c r="P161" s="772"/>
      <c r="Q161" s="771"/>
      <c r="R161" s="772"/>
      <c r="S161" s="772"/>
      <c r="T161" s="772"/>
      <c r="U161" s="772"/>
      <c r="V161" s="772"/>
      <c r="W161" s="746"/>
    </row>
    <row r="162" spans="2:23" x14ac:dyDescent="0.25">
      <c r="B162" s="1116" t="s">
        <v>1446</v>
      </c>
      <c r="C162" s="779"/>
      <c r="D162" s="779"/>
      <c r="E162" s="779"/>
      <c r="F162" s="779"/>
      <c r="G162" s="779"/>
      <c r="H162" s="779"/>
      <c r="I162" s="777"/>
      <c r="J162" s="778"/>
      <c r="L162" s="778">
        <v>25000</v>
      </c>
      <c r="M162" s="777">
        <v>21584</v>
      </c>
      <c r="N162" s="778">
        <f>+M162</f>
        <v>21584</v>
      </c>
      <c r="O162" s="777">
        <f>+N162</f>
        <v>21584</v>
      </c>
      <c r="P162" s="772"/>
      <c r="Q162" s="771"/>
      <c r="R162" s="772"/>
      <c r="S162" s="772"/>
      <c r="T162" s="772"/>
      <c r="U162" s="772"/>
      <c r="V162" s="772"/>
      <c r="W162" s="746"/>
    </row>
    <row r="163" spans="2:23" x14ac:dyDescent="0.25">
      <c r="B163" s="769" t="s">
        <v>1447</v>
      </c>
      <c r="C163" s="779"/>
      <c r="D163" s="779"/>
      <c r="E163" s="779"/>
      <c r="F163" s="779"/>
      <c r="G163" s="779"/>
      <c r="H163" s="779"/>
      <c r="I163" s="777"/>
      <c r="J163" s="778"/>
      <c r="L163" s="778">
        <v>50000</v>
      </c>
      <c r="M163" s="777"/>
      <c r="N163" s="778"/>
      <c r="O163" s="777"/>
      <c r="P163" s="772"/>
      <c r="Q163" s="771"/>
      <c r="R163" s="772"/>
      <c r="S163" s="772"/>
      <c r="T163" s="772"/>
      <c r="U163" s="772"/>
      <c r="V163" s="772"/>
      <c r="W163" s="746"/>
    </row>
    <row r="164" spans="2:23" ht="15.6" x14ac:dyDescent="0.3">
      <c r="B164" s="779" t="s">
        <v>1279</v>
      </c>
      <c r="C164" s="779"/>
      <c r="D164" s="779"/>
      <c r="E164" s="779"/>
      <c r="F164" s="779"/>
      <c r="G164" s="779"/>
      <c r="H164" s="779"/>
      <c r="I164" s="779"/>
      <c r="J164" s="777">
        <v>76670</v>
      </c>
      <c r="L164" s="785"/>
      <c r="M164" s="777"/>
      <c r="N164" s="778"/>
      <c r="O164" s="777"/>
      <c r="P164" s="772"/>
      <c r="Q164" s="771"/>
      <c r="R164" s="772"/>
      <c r="S164" s="772"/>
      <c r="T164" s="772"/>
      <c r="U164" s="772"/>
      <c r="V164" s="772"/>
      <c r="W164" s="746"/>
    </row>
    <row r="165" spans="2:23" ht="15.6" x14ac:dyDescent="0.3">
      <c r="B165" s="779" t="s">
        <v>1280</v>
      </c>
      <c r="C165" s="779"/>
      <c r="D165" s="779"/>
      <c r="E165" s="779"/>
      <c r="F165" s="779"/>
      <c r="G165" s="779"/>
      <c r="H165" s="779"/>
      <c r="I165" s="779"/>
      <c r="J165" s="777">
        <v>21755</v>
      </c>
      <c r="L165" s="785"/>
      <c r="M165" s="777"/>
      <c r="N165" s="778"/>
      <c r="O165" s="777"/>
      <c r="P165" s="772"/>
      <c r="Q165" s="771"/>
      <c r="R165" s="772"/>
      <c r="S165" s="772"/>
      <c r="T165" s="772"/>
      <c r="U165" s="772"/>
      <c r="V165" s="772"/>
      <c r="W165" s="746"/>
    </row>
    <row r="166" spans="2:23" x14ac:dyDescent="0.25">
      <c r="B166" s="779" t="s">
        <v>1496</v>
      </c>
      <c r="C166" s="779"/>
      <c r="D166" s="779"/>
      <c r="E166" s="779"/>
      <c r="F166" s="779"/>
      <c r="G166" s="779"/>
      <c r="H166" s="779"/>
      <c r="I166" s="779"/>
      <c r="J166" s="777"/>
      <c r="L166" s="777">
        <v>32500</v>
      </c>
      <c r="M166" s="777"/>
      <c r="N166" s="778"/>
      <c r="O166" s="777"/>
      <c r="P166" s="772"/>
      <c r="Q166" s="771"/>
      <c r="R166" s="772"/>
      <c r="S166" s="772"/>
      <c r="T166" s="772"/>
      <c r="U166" s="772"/>
      <c r="V166" s="772"/>
      <c r="W166" s="746"/>
    </row>
    <row r="167" spans="2:23" x14ac:dyDescent="0.25">
      <c r="B167" s="779" t="s">
        <v>1676</v>
      </c>
      <c r="C167" s="779"/>
      <c r="D167" s="779"/>
      <c r="E167" s="779"/>
      <c r="F167" s="779"/>
      <c r="G167" s="779"/>
      <c r="H167" s="779"/>
      <c r="I167" s="779"/>
      <c r="J167" s="777"/>
      <c r="L167" s="777"/>
      <c r="M167" s="777">
        <v>10000</v>
      </c>
      <c r="N167" s="778">
        <f>+M167</f>
        <v>10000</v>
      </c>
      <c r="O167" s="777"/>
      <c r="P167" s="772">
        <v>10000</v>
      </c>
      <c r="Q167" s="771"/>
      <c r="R167" s="772"/>
      <c r="S167" s="772"/>
      <c r="T167" s="772"/>
      <c r="U167" s="772"/>
      <c r="V167" s="772"/>
      <c r="W167" s="746"/>
    </row>
    <row r="168" spans="2:23" ht="15.6" x14ac:dyDescent="0.3">
      <c r="B168" s="786" t="s">
        <v>1438</v>
      </c>
      <c r="C168" s="786"/>
      <c r="D168" s="786"/>
      <c r="E168" s="786"/>
      <c r="F168" s="786"/>
      <c r="G168" s="786"/>
      <c r="H168" s="786"/>
      <c r="I168" s="786"/>
      <c r="J168" s="787"/>
      <c r="K168" s="796">
        <v>10000</v>
      </c>
      <c r="L168" s="788"/>
      <c r="M168" s="777"/>
      <c r="N168" s="778"/>
      <c r="O168" s="777"/>
      <c r="P168" s="772"/>
      <c r="Q168" s="771"/>
      <c r="R168" s="772"/>
      <c r="S168" s="772"/>
      <c r="T168" s="772"/>
      <c r="U168" s="772"/>
      <c r="V168" s="772"/>
      <c r="W168" s="746"/>
    </row>
    <row r="169" spans="2:23" x14ac:dyDescent="0.25">
      <c r="B169" s="786" t="s">
        <v>1377</v>
      </c>
      <c r="C169" s="786"/>
      <c r="D169" s="786"/>
      <c r="E169" s="786"/>
      <c r="F169" s="786"/>
      <c r="G169" s="786"/>
      <c r="H169" s="786"/>
      <c r="I169" s="786"/>
      <c r="J169" s="787"/>
      <c r="K169" s="787">
        <v>7500</v>
      </c>
      <c r="L169" s="787"/>
      <c r="M169" s="777"/>
      <c r="N169" s="778"/>
      <c r="O169" s="777"/>
      <c r="P169" s="772"/>
      <c r="Q169" s="771"/>
      <c r="R169" s="772"/>
      <c r="S169" s="772"/>
      <c r="T169" s="772"/>
      <c r="U169" s="772"/>
      <c r="V169" s="772"/>
      <c r="W169" s="746"/>
    </row>
    <row r="170" spans="2:23" x14ac:dyDescent="0.25">
      <c r="B170" s="786" t="s">
        <v>1378</v>
      </c>
      <c r="C170" s="786"/>
      <c r="D170" s="786"/>
      <c r="E170" s="786"/>
      <c r="F170" s="786"/>
      <c r="G170" s="786"/>
      <c r="H170" s="786"/>
      <c r="I170" s="786"/>
      <c r="J170" s="787"/>
      <c r="K170" s="787">
        <v>7500</v>
      </c>
      <c r="L170" s="787"/>
      <c r="M170" s="777"/>
      <c r="N170" s="778"/>
      <c r="O170" s="777"/>
      <c r="P170" s="772"/>
      <c r="Q170" s="771"/>
      <c r="R170" s="772"/>
      <c r="S170" s="772"/>
      <c r="T170" s="772"/>
      <c r="U170" s="772"/>
      <c r="V170" s="772"/>
      <c r="W170" s="746"/>
    </row>
    <row r="171" spans="2:23" x14ac:dyDescent="0.25">
      <c r="B171" s="786" t="s">
        <v>1379</v>
      </c>
      <c r="C171" s="786"/>
      <c r="D171" s="786"/>
      <c r="E171" s="786"/>
      <c r="F171" s="786"/>
      <c r="G171" s="786"/>
      <c r="H171" s="786"/>
      <c r="I171" s="786"/>
      <c r="J171" s="787"/>
      <c r="K171" s="787">
        <v>6953</v>
      </c>
      <c r="L171" s="787"/>
      <c r="M171" s="777"/>
      <c r="N171" s="778"/>
      <c r="O171" s="777"/>
      <c r="P171" s="772"/>
      <c r="Q171" s="771"/>
      <c r="R171" s="772"/>
      <c r="S171" s="772"/>
      <c r="T171" s="772"/>
      <c r="U171" s="772"/>
      <c r="V171" s="772"/>
      <c r="W171" s="746"/>
    </row>
    <row r="172" spans="2:23" ht="15.6" x14ac:dyDescent="0.3">
      <c r="B172" s="786" t="s">
        <v>1281</v>
      </c>
      <c r="C172" s="786"/>
      <c r="D172" s="786"/>
      <c r="E172" s="786"/>
      <c r="F172" s="786"/>
      <c r="G172" s="786"/>
      <c r="H172" s="786"/>
      <c r="I172" s="786"/>
      <c r="J172" s="787">
        <v>35344</v>
      </c>
      <c r="L172" s="788"/>
      <c r="M172" s="777"/>
      <c r="N172" s="778"/>
      <c r="O172" s="777"/>
      <c r="P172" s="772"/>
      <c r="Q172" s="771"/>
      <c r="R172" s="772"/>
      <c r="S172" s="772"/>
      <c r="T172" s="772"/>
      <c r="U172" s="772"/>
      <c r="V172" s="772"/>
      <c r="W172" s="746"/>
    </row>
    <row r="173" spans="2:23" x14ac:dyDescent="0.25">
      <c r="B173" s="786" t="s">
        <v>1494</v>
      </c>
      <c r="C173" s="786"/>
      <c r="D173" s="786"/>
      <c r="E173" s="786"/>
      <c r="F173" s="786"/>
      <c r="G173" s="786"/>
      <c r="H173" s="786"/>
      <c r="I173" s="786"/>
      <c r="J173" s="787"/>
      <c r="L173" s="787">
        <v>0</v>
      </c>
      <c r="M173" s="777"/>
      <c r="N173" s="778"/>
      <c r="O173" s="777">
        <f>+N173</f>
        <v>0</v>
      </c>
      <c r="P173" s="772"/>
      <c r="Q173" s="771"/>
      <c r="R173" s="772"/>
      <c r="S173" s="772"/>
      <c r="T173" s="772"/>
      <c r="U173" s="772"/>
      <c r="V173" s="772"/>
      <c r="W173" s="746"/>
    </row>
    <row r="174" spans="2:23" x14ac:dyDescent="0.25">
      <c r="B174" s="786" t="s">
        <v>1405</v>
      </c>
      <c r="C174" s="786"/>
      <c r="D174" s="786"/>
      <c r="E174" s="786"/>
      <c r="F174" s="786"/>
      <c r="G174" s="786"/>
      <c r="H174" s="786"/>
      <c r="I174" s="786"/>
      <c r="J174" s="787"/>
      <c r="L174" s="787">
        <v>55000</v>
      </c>
      <c r="M174" s="777"/>
      <c r="N174" s="778"/>
      <c r="O174" s="777"/>
      <c r="P174" s="772"/>
      <c r="Q174" s="771"/>
      <c r="R174" s="772"/>
      <c r="S174" s="772"/>
      <c r="T174" s="772"/>
      <c r="U174" s="772"/>
      <c r="V174" s="772"/>
      <c r="W174" s="746"/>
    </row>
    <row r="175" spans="2:23" x14ac:dyDescent="0.25">
      <c r="B175" s="786" t="s">
        <v>1490</v>
      </c>
      <c r="C175" s="786"/>
      <c r="D175" s="786"/>
      <c r="E175" s="786"/>
      <c r="F175" s="786"/>
      <c r="G175" s="786"/>
      <c r="H175" s="786"/>
      <c r="I175" s="786"/>
      <c r="J175" s="787"/>
      <c r="L175" s="787">
        <v>45000</v>
      </c>
      <c r="M175" s="777"/>
      <c r="N175" s="778"/>
      <c r="O175" s="777"/>
      <c r="P175" s="772"/>
      <c r="Q175" s="771"/>
      <c r="R175" s="772"/>
      <c r="S175" s="772"/>
      <c r="T175" s="772"/>
      <c r="U175" s="772"/>
      <c r="V175" s="772"/>
      <c r="W175" s="746"/>
    </row>
    <row r="176" spans="2:23" x14ac:dyDescent="0.25">
      <c r="B176" s="786" t="s">
        <v>1491</v>
      </c>
      <c r="C176" s="786"/>
      <c r="D176" s="786"/>
      <c r="E176" s="786"/>
      <c r="F176" s="786"/>
      <c r="G176" s="786"/>
      <c r="H176" s="786"/>
      <c r="I176" s="786"/>
      <c r="J176" s="787"/>
      <c r="L176" s="787">
        <v>90000</v>
      </c>
      <c r="M176" s="777"/>
      <c r="N176" s="778"/>
      <c r="O176" s="777"/>
      <c r="P176" s="772"/>
      <c r="Q176" s="771"/>
      <c r="R176" s="772"/>
      <c r="S176" s="772"/>
      <c r="T176" s="772"/>
      <c r="U176" s="772"/>
      <c r="V176" s="772"/>
      <c r="W176" s="746"/>
    </row>
    <row r="177" spans="2:23" x14ac:dyDescent="0.25">
      <c r="B177" s="786" t="s">
        <v>1495</v>
      </c>
      <c r="C177" s="786"/>
      <c r="D177" s="786"/>
      <c r="E177" s="786"/>
      <c r="F177" s="786"/>
      <c r="G177" s="786"/>
      <c r="H177" s="786"/>
      <c r="I177" s="786"/>
      <c r="J177" s="787"/>
      <c r="L177" s="787">
        <v>56511</v>
      </c>
      <c r="M177" s="777"/>
      <c r="N177" s="778"/>
      <c r="O177" s="777"/>
      <c r="P177" s="772"/>
      <c r="Q177" s="771"/>
      <c r="R177" s="772"/>
      <c r="S177" s="772"/>
      <c r="T177" s="772"/>
      <c r="U177" s="772"/>
      <c r="V177" s="772"/>
      <c r="W177" s="746"/>
    </row>
    <row r="178" spans="2:23" ht="15.6" x14ac:dyDescent="0.3">
      <c r="B178" s="786" t="s">
        <v>1439</v>
      </c>
      <c r="C178" s="786"/>
      <c r="D178" s="786"/>
      <c r="E178" s="786"/>
      <c r="F178" s="786"/>
      <c r="G178" s="786"/>
      <c r="H178" s="786"/>
      <c r="I178" s="787"/>
      <c r="J178" s="787"/>
      <c r="K178" s="796">
        <v>10000</v>
      </c>
      <c r="L178" s="788"/>
      <c r="M178" s="777"/>
      <c r="N178" s="778"/>
      <c r="O178" s="777"/>
      <c r="P178" s="772"/>
      <c r="Q178" s="771"/>
      <c r="R178" s="772"/>
      <c r="S178" s="772"/>
      <c r="T178" s="772"/>
      <c r="U178" s="772"/>
      <c r="V178" s="772"/>
      <c r="W178" s="746"/>
    </row>
    <row r="179" spans="2:23" hidden="1" x14ac:dyDescent="0.25">
      <c r="B179" s="779" t="s">
        <v>1146</v>
      </c>
      <c r="C179" s="779"/>
      <c r="D179" s="779"/>
      <c r="E179" s="779"/>
      <c r="F179" s="779"/>
      <c r="G179" s="779"/>
      <c r="H179" s="777"/>
      <c r="I179" s="777">
        <v>7000</v>
      </c>
      <c r="J179" s="778"/>
      <c r="L179" s="778"/>
      <c r="M179" s="777"/>
      <c r="N179" s="778"/>
      <c r="P179" s="783"/>
      <c r="Q179" s="789"/>
      <c r="R179" s="772"/>
      <c r="S179" s="772"/>
      <c r="T179" s="772"/>
      <c r="U179" s="772"/>
      <c r="V179" s="772"/>
      <c r="W179" s="746"/>
    </row>
    <row r="180" spans="2:23" x14ac:dyDescent="0.25">
      <c r="B180" s="1116" t="s">
        <v>1894</v>
      </c>
      <c r="C180" s="779"/>
      <c r="D180" s="779"/>
      <c r="E180" s="779"/>
      <c r="F180" s="779"/>
      <c r="G180" s="779"/>
      <c r="H180" s="777"/>
      <c r="I180" s="777"/>
      <c r="J180" s="778"/>
      <c r="L180" s="778"/>
      <c r="M180" s="777">
        <v>45000</v>
      </c>
      <c r="N180" s="778">
        <f>+M180</f>
        <v>45000</v>
      </c>
      <c r="O180" s="774">
        <f>+N180</f>
        <v>45000</v>
      </c>
      <c r="P180" s="783"/>
      <c r="Q180" s="789"/>
      <c r="R180" s="772"/>
      <c r="S180" s="772"/>
      <c r="T180" s="772"/>
      <c r="U180" s="772"/>
      <c r="V180" s="772"/>
      <c r="W180" s="746"/>
    </row>
    <row r="181" spans="2:23" x14ac:dyDescent="0.25">
      <c r="B181" s="779" t="s">
        <v>1343</v>
      </c>
      <c r="C181" s="779"/>
      <c r="D181" s="779"/>
      <c r="E181" s="779"/>
      <c r="F181" s="779"/>
      <c r="G181" s="779"/>
      <c r="H181" s="777"/>
      <c r="I181" s="777"/>
      <c r="J181" s="778"/>
      <c r="K181" s="796">
        <v>5000</v>
      </c>
      <c r="L181" s="778"/>
      <c r="M181" s="777"/>
      <c r="N181" s="778"/>
      <c r="P181" s="783"/>
      <c r="Q181" s="789"/>
      <c r="R181" s="772"/>
      <c r="S181" s="772"/>
      <c r="T181" s="772"/>
      <c r="U181" s="772"/>
      <c r="V181" s="772"/>
      <c r="W181" s="746"/>
    </row>
    <row r="182" spans="2:23" hidden="1" x14ac:dyDescent="0.25">
      <c r="B182" s="779" t="s">
        <v>1204</v>
      </c>
      <c r="C182" s="779"/>
      <c r="D182" s="779"/>
      <c r="E182" s="779"/>
      <c r="F182" s="779"/>
      <c r="G182" s="779"/>
      <c r="H182" s="779"/>
      <c r="I182" s="777">
        <v>30000</v>
      </c>
      <c r="J182" s="778"/>
      <c r="L182" s="778"/>
      <c r="M182" s="777"/>
      <c r="N182" s="778"/>
      <c r="P182" s="783"/>
      <c r="Q182" s="789"/>
      <c r="R182" s="772"/>
      <c r="S182" s="772"/>
      <c r="T182" s="772"/>
      <c r="U182" s="772"/>
      <c r="V182" s="772"/>
      <c r="W182" s="746"/>
    </row>
    <row r="183" spans="2:23" ht="15.6" x14ac:dyDescent="0.3">
      <c r="B183" s="779" t="s">
        <v>1265</v>
      </c>
      <c r="C183" s="779"/>
      <c r="D183" s="779"/>
      <c r="E183" s="779"/>
      <c r="F183" s="779"/>
      <c r="G183" s="779"/>
      <c r="H183" s="779"/>
      <c r="I183" s="777"/>
      <c r="J183" s="778">
        <v>50000</v>
      </c>
      <c r="L183" s="790"/>
      <c r="M183" s="777"/>
      <c r="N183" s="778"/>
      <c r="O183" s="777"/>
      <c r="P183" s="772">
        <f t="shared" ref="P183:P190" si="27">+N183</f>
        <v>0</v>
      </c>
      <c r="Q183" s="789"/>
      <c r="R183" s="772"/>
      <c r="S183" s="772"/>
      <c r="T183" s="772"/>
      <c r="U183" s="772"/>
      <c r="V183" s="772"/>
      <c r="W183" s="746"/>
    </row>
    <row r="184" spans="2:23" ht="15.6" x14ac:dyDescent="0.3">
      <c r="B184" s="779" t="s">
        <v>1266</v>
      </c>
      <c r="C184" s="779"/>
      <c r="D184" s="779"/>
      <c r="E184" s="779"/>
      <c r="F184" s="779"/>
      <c r="G184" s="779"/>
      <c r="H184" s="779"/>
      <c r="I184" s="777"/>
      <c r="J184" s="778">
        <v>7500</v>
      </c>
      <c r="L184" s="790"/>
      <c r="M184" s="777"/>
      <c r="N184" s="778"/>
      <c r="O184" s="777"/>
      <c r="P184" s="783">
        <f t="shared" si="27"/>
        <v>0</v>
      </c>
      <c r="Q184" s="789"/>
      <c r="R184" s="772"/>
      <c r="S184" s="772"/>
      <c r="T184" s="772"/>
      <c r="U184" s="772"/>
      <c r="V184" s="772"/>
      <c r="W184" s="746"/>
    </row>
    <row r="185" spans="2:23" ht="15.6" x14ac:dyDescent="0.3">
      <c r="B185" s="779" t="s">
        <v>1267</v>
      </c>
      <c r="C185" s="779"/>
      <c r="D185" s="779"/>
      <c r="E185" s="779"/>
      <c r="F185" s="779"/>
      <c r="G185" s="779"/>
      <c r="H185" s="779"/>
      <c r="I185" s="777"/>
      <c r="J185" s="778">
        <v>8975</v>
      </c>
      <c r="L185" s="790"/>
      <c r="M185" s="777"/>
      <c r="N185" s="778"/>
      <c r="O185" s="777"/>
      <c r="P185" s="783">
        <f t="shared" si="27"/>
        <v>0</v>
      </c>
      <c r="Q185" s="789"/>
      <c r="R185" s="772"/>
      <c r="S185" s="772"/>
      <c r="T185" s="772"/>
      <c r="U185" s="772"/>
      <c r="V185" s="772"/>
      <c r="W185" s="746"/>
    </row>
    <row r="186" spans="2:23" ht="15.6" x14ac:dyDescent="0.3">
      <c r="B186" s="1143" t="s">
        <v>1934</v>
      </c>
      <c r="C186" s="779"/>
      <c r="D186" s="779"/>
      <c r="E186" s="779"/>
      <c r="F186" s="779"/>
      <c r="G186" s="779"/>
      <c r="H186" s="779"/>
      <c r="I186" s="777"/>
      <c r="J186" s="778"/>
      <c r="L186" s="790"/>
      <c r="M186" s="777">
        <v>25000</v>
      </c>
      <c r="N186" s="778">
        <f>+M186</f>
        <v>25000</v>
      </c>
      <c r="O186" s="777"/>
      <c r="P186" s="783"/>
      <c r="Q186" s="789">
        <f>+M186</f>
        <v>25000</v>
      </c>
      <c r="R186" s="772"/>
      <c r="S186" s="772"/>
      <c r="T186" s="772"/>
      <c r="U186" s="772"/>
      <c r="V186" s="772"/>
      <c r="W186" s="746"/>
    </row>
    <row r="187" spans="2:23" ht="15.6" x14ac:dyDescent="0.3">
      <c r="B187" s="1140" t="s">
        <v>1924</v>
      </c>
      <c r="C187" s="779"/>
      <c r="D187" s="779"/>
      <c r="E187" s="779"/>
      <c r="F187" s="779"/>
      <c r="G187" s="779"/>
      <c r="H187" s="779"/>
      <c r="I187" s="777"/>
      <c r="J187" s="778"/>
      <c r="L187" s="790"/>
      <c r="M187" s="777">
        <v>40000</v>
      </c>
      <c r="N187" s="778">
        <f>+M187</f>
        <v>40000</v>
      </c>
      <c r="O187" s="777"/>
      <c r="P187" s="783"/>
      <c r="Q187" s="789">
        <f>+M187</f>
        <v>40000</v>
      </c>
      <c r="R187" s="772"/>
      <c r="S187" s="772"/>
      <c r="T187" s="772"/>
      <c r="U187" s="772"/>
      <c r="V187" s="772"/>
      <c r="W187" s="746"/>
    </row>
    <row r="188" spans="2:23" ht="15.6" x14ac:dyDescent="0.3">
      <c r="B188" s="779" t="s">
        <v>1268</v>
      </c>
      <c r="C188" s="779"/>
      <c r="D188" s="779"/>
      <c r="E188" s="779"/>
      <c r="F188" s="779"/>
      <c r="G188" s="779"/>
      <c r="H188" s="779"/>
      <c r="I188" s="777"/>
      <c r="J188" s="778">
        <v>22050</v>
      </c>
      <c r="L188" s="790"/>
      <c r="M188" s="777"/>
      <c r="N188" s="778"/>
      <c r="O188" s="777"/>
      <c r="P188" s="783">
        <f t="shared" si="27"/>
        <v>0</v>
      </c>
      <c r="Q188" s="789"/>
      <c r="R188" s="772"/>
      <c r="S188" s="772"/>
      <c r="T188" s="772"/>
      <c r="U188" s="772"/>
      <c r="V188" s="772"/>
      <c r="W188" s="746"/>
    </row>
    <row r="189" spans="2:23" ht="15.6" x14ac:dyDescent="0.3">
      <c r="B189" s="779" t="s">
        <v>1274</v>
      </c>
      <c r="C189" s="779"/>
      <c r="D189" s="779"/>
      <c r="E189" s="779"/>
      <c r="F189" s="779"/>
      <c r="G189" s="779"/>
      <c r="H189" s="779"/>
      <c r="I189" s="777"/>
      <c r="J189" s="778">
        <v>20000</v>
      </c>
      <c r="L189" s="790"/>
      <c r="M189" s="777"/>
      <c r="N189" s="778"/>
      <c r="O189" s="777"/>
      <c r="P189" s="783">
        <f t="shared" si="27"/>
        <v>0</v>
      </c>
      <c r="Q189" s="789"/>
      <c r="R189" s="772"/>
      <c r="S189" s="772"/>
      <c r="T189" s="772"/>
      <c r="U189" s="772"/>
      <c r="V189" s="772"/>
      <c r="W189" s="746"/>
    </row>
    <row r="190" spans="2:23" ht="15.6" x14ac:dyDescent="0.3">
      <c r="B190" s="779" t="s">
        <v>1273</v>
      </c>
      <c r="C190" s="779"/>
      <c r="D190" s="779"/>
      <c r="E190" s="779"/>
      <c r="F190" s="779"/>
      <c r="G190" s="779"/>
      <c r="H190" s="779"/>
      <c r="I190" s="777"/>
      <c r="J190" s="778">
        <v>10000</v>
      </c>
      <c r="L190" s="790"/>
      <c r="M190" s="777"/>
      <c r="N190" s="778"/>
      <c r="O190" s="777"/>
      <c r="P190" s="783">
        <f t="shared" si="27"/>
        <v>0</v>
      </c>
      <c r="Q190" s="789"/>
      <c r="R190" s="772"/>
      <c r="S190" s="772"/>
      <c r="T190" s="772"/>
      <c r="U190" s="772"/>
      <c r="V190" s="772"/>
      <c r="W190" s="746"/>
    </row>
    <row r="191" spans="2:23" hidden="1" x14ac:dyDescent="0.25">
      <c r="B191" s="779" t="s">
        <v>1152</v>
      </c>
      <c r="C191" s="779"/>
      <c r="D191" s="779"/>
      <c r="E191" s="779"/>
      <c r="F191" s="779"/>
      <c r="G191" s="779"/>
      <c r="H191" s="779"/>
      <c r="I191" s="777">
        <v>12000</v>
      </c>
      <c r="J191" s="778"/>
      <c r="L191" s="778"/>
      <c r="M191" s="777"/>
      <c r="N191" s="778"/>
      <c r="O191" s="778">
        <f>+N191</f>
        <v>0</v>
      </c>
      <c r="P191" s="783"/>
      <c r="Q191" s="789"/>
      <c r="R191" s="772"/>
      <c r="S191" s="772"/>
      <c r="T191" s="772"/>
      <c r="U191" s="772"/>
      <c r="V191" s="772"/>
      <c r="W191" s="746"/>
    </row>
    <row r="192" spans="2:23" ht="15.6" x14ac:dyDescent="0.3">
      <c r="B192" s="769" t="s">
        <v>668</v>
      </c>
      <c r="C192" s="779"/>
      <c r="D192" s="779"/>
      <c r="E192" s="779"/>
      <c r="F192" s="779"/>
      <c r="G192" s="779"/>
      <c r="H192" s="779"/>
      <c r="I192" s="777">
        <v>15000</v>
      </c>
      <c r="J192" s="778">
        <v>11000</v>
      </c>
      <c r="L192" s="778"/>
      <c r="M192" s="777"/>
      <c r="N192" s="778"/>
      <c r="O192" s="778">
        <f>+N192</f>
        <v>0</v>
      </c>
      <c r="P192" s="777"/>
      <c r="Q192" s="778"/>
      <c r="R192" s="777"/>
      <c r="S192" s="781"/>
      <c r="W192" s="746"/>
    </row>
    <row r="193" spans="2:23" ht="15.6" x14ac:dyDescent="0.3">
      <c r="B193" s="1139" t="s">
        <v>1330</v>
      </c>
      <c r="C193" s="779"/>
      <c r="D193" s="779"/>
      <c r="E193" s="779"/>
      <c r="F193" s="779"/>
      <c r="G193" s="779"/>
      <c r="H193" s="779"/>
      <c r="I193" s="777"/>
      <c r="J193" s="778">
        <v>15000</v>
      </c>
      <c r="L193" s="778"/>
      <c r="M193" s="777"/>
      <c r="N193" s="778"/>
      <c r="O193" s="777"/>
      <c r="P193" s="772"/>
      <c r="Q193" s="778"/>
      <c r="R193" s="777"/>
      <c r="S193" s="781"/>
      <c r="W193" s="746"/>
    </row>
    <row r="194" spans="2:23" ht="15.6" hidden="1" x14ac:dyDescent="0.3">
      <c r="B194" s="779" t="s">
        <v>1198</v>
      </c>
      <c r="C194" s="779"/>
      <c r="D194" s="779"/>
      <c r="E194" s="779"/>
      <c r="F194" s="779"/>
      <c r="G194" s="779"/>
      <c r="H194" s="779"/>
      <c r="I194" s="777">
        <v>30000</v>
      </c>
      <c r="J194" s="778"/>
      <c r="L194" s="778"/>
      <c r="M194" s="777"/>
      <c r="N194" s="778"/>
      <c r="O194" s="777"/>
      <c r="P194" s="777"/>
      <c r="Q194" s="778"/>
      <c r="R194" s="777"/>
      <c r="S194" s="781"/>
      <c r="W194" s="746"/>
    </row>
    <row r="195" spans="2:23" ht="15.6" hidden="1" x14ac:dyDescent="0.3">
      <c r="B195" s="779" t="s">
        <v>1199</v>
      </c>
      <c r="C195" s="779"/>
      <c r="D195" s="779"/>
      <c r="E195" s="779"/>
      <c r="F195" s="779"/>
      <c r="G195" s="779"/>
      <c r="H195" s="779"/>
      <c r="I195" s="777">
        <v>72000</v>
      </c>
      <c r="J195" s="778"/>
      <c r="L195" s="778"/>
      <c r="M195" s="777"/>
      <c r="N195" s="778"/>
      <c r="O195" s="777"/>
      <c r="P195" s="777"/>
      <c r="Q195" s="778"/>
      <c r="R195" s="777"/>
      <c r="S195" s="781"/>
      <c r="W195" s="746"/>
    </row>
    <row r="196" spans="2:23" ht="15.6" hidden="1" x14ac:dyDescent="0.3">
      <c r="B196" s="779" t="s">
        <v>1200</v>
      </c>
      <c r="C196" s="779"/>
      <c r="D196" s="779"/>
      <c r="E196" s="779"/>
      <c r="F196" s="779"/>
      <c r="G196" s="779"/>
      <c r="H196" s="779"/>
      <c r="I196" s="777">
        <v>30000</v>
      </c>
      <c r="J196" s="778"/>
      <c r="L196" s="778"/>
      <c r="M196" s="777"/>
      <c r="N196" s="778"/>
      <c r="O196" s="777"/>
      <c r="P196" s="777"/>
      <c r="Q196" s="778"/>
      <c r="R196" s="777"/>
      <c r="S196" s="781"/>
      <c r="W196" s="746"/>
    </row>
    <row r="197" spans="2:23" ht="15.6" hidden="1" x14ac:dyDescent="0.3">
      <c r="B197" s="779" t="s">
        <v>1201</v>
      </c>
      <c r="C197" s="779"/>
      <c r="D197" s="779"/>
      <c r="E197" s="779"/>
      <c r="F197" s="779"/>
      <c r="G197" s="779"/>
      <c r="H197" s="779"/>
      <c r="I197" s="777">
        <v>25000</v>
      </c>
      <c r="J197" s="778"/>
      <c r="L197" s="778"/>
      <c r="M197" s="777"/>
      <c r="N197" s="778"/>
      <c r="O197" s="777"/>
      <c r="P197" s="777"/>
      <c r="Q197" s="778"/>
      <c r="R197" s="777"/>
      <c r="S197" s="781"/>
      <c r="W197" s="746"/>
    </row>
    <row r="198" spans="2:23" ht="15.6" hidden="1" x14ac:dyDescent="0.3">
      <c r="B198" s="779" t="s">
        <v>1203</v>
      </c>
      <c r="C198" s="779"/>
      <c r="D198" s="779"/>
      <c r="E198" s="779"/>
      <c r="F198" s="779"/>
      <c r="G198" s="779"/>
      <c r="H198" s="779"/>
      <c r="I198" s="777">
        <v>150000</v>
      </c>
      <c r="J198" s="778"/>
      <c r="L198" s="778"/>
      <c r="M198" s="777"/>
      <c r="N198" s="778"/>
      <c r="O198" s="777"/>
      <c r="P198" s="777"/>
      <c r="Q198" s="778"/>
      <c r="R198" s="777"/>
      <c r="S198" s="781"/>
      <c r="W198" s="746"/>
    </row>
    <row r="199" spans="2:23" ht="15.6" hidden="1" x14ac:dyDescent="0.3">
      <c r="B199" s="779" t="s">
        <v>1202</v>
      </c>
      <c r="C199" s="779"/>
      <c r="D199" s="779"/>
      <c r="E199" s="779"/>
      <c r="F199" s="779"/>
      <c r="G199" s="779"/>
      <c r="H199" s="779"/>
      <c r="I199" s="777">
        <v>521000</v>
      </c>
      <c r="J199" s="778"/>
      <c r="L199" s="778"/>
      <c r="M199" s="777"/>
      <c r="N199" s="778"/>
      <c r="O199" s="777"/>
      <c r="P199" s="777"/>
      <c r="Q199" s="778"/>
      <c r="R199" s="777"/>
      <c r="S199" s="781"/>
      <c r="T199" s="773">
        <f>+N199</f>
        <v>0</v>
      </c>
      <c r="W199" s="746"/>
    </row>
    <row r="200" spans="2:23" x14ac:dyDescent="0.25">
      <c r="B200" s="1132" t="s">
        <v>1897</v>
      </c>
      <c r="C200" s="779"/>
      <c r="D200" s="779"/>
      <c r="E200" s="779"/>
      <c r="F200" s="779"/>
      <c r="G200" s="779"/>
      <c r="H200" s="779"/>
      <c r="I200" s="777">
        <v>100000</v>
      </c>
      <c r="J200" s="778">
        <v>100000</v>
      </c>
      <c r="K200" s="796">
        <v>80000</v>
      </c>
      <c r="L200" s="778">
        <v>100000</v>
      </c>
      <c r="M200" s="777">
        <v>75000</v>
      </c>
      <c r="N200" s="778">
        <f>+M200</f>
        <v>75000</v>
      </c>
      <c r="O200" s="777">
        <f>+N200</f>
        <v>75000</v>
      </c>
      <c r="P200" s="777"/>
      <c r="Q200" s="778"/>
      <c r="R200" s="777"/>
      <c r="W200" s="746"/>
    </row>
    <row r="201" spans="2:23" hidden="1" x14ac:dyDescent="0.25">
      <c r="B201" s="769" t="s">
        <v>883</v>
      </c>
      <c r="C201" s="779"/>
      <c r="D201" s="779"/>
      <c r="E201" s="779"/>
      <c r="F201" s="779"/>
      <c r="G201" s="779"/>
      <c r="H201" s="779"/>
      <c r="I201" s="777"/>
      <c r="J201" s="778"/>
      <c r="L201" s="778"/>
      <c r="M201" s="777"/>
      <c r="N201" s="778"/>
      <c r="O201" s="777"/>
      <c r="P201" s="777"/>
      <c r="Q201" s="778"/>
      <c r="R201" s="777"/>
      <c r="T201" s="778">
        <f>+L201</f>
        <v>0</v>
      </c>
      <c r="W201" s="746"/>
    </row>
    <row r="202" spans="2:23" hidden="1" x14ac:dyDescent="0.25">
      <c r="B202" s="791" t="s">
        <v>1188</v>
      </c>
      <c r="C202" s="779"/>
      <c r="D202" s="779"/>
      <c r="E202" s="779"/>
      <c r="F202" s="779"/>
      <c r="G202" s="779"/>
      <c r="H202" s="779"/>
      <c r="I202" s="777"/>
      <c r="J202" s="778"/>
      <c r="L202" s="778"/>
      <c r="M202" s="777"/>
      <c r="N202" s="778"/>
      <c r="O202" s="777">
        <f>+N202</f>
        <v>0</v>
      </c>
      <c r="P202" s="777"/>
      <c r="Q202" s="778"/>
      <c r="R202" s="777"/>
      <c r="T202" s="778"/>
      <c r="W202" s="746"/>
    </row>
    <row r="203" spans="2:23" hidden="1" x14ac:dyDescent="0.25">
      <c r="B203" s="769" t="s">
        <v>1078</v>
      </c>
      <c r="C203" s="779"/>
      <c r="D203" s="779"/>
      <c r="E203" s="779"/>
      <c r="F203" s="779"/>
      <c r="G203" s="779"/>
      <c r="H203" s="779"/>
      <c r="I203" s="777"/>
      <c r="J203" s="778"/>
      <c r="L203" s="778"/>
      <c r="M203" s="777"/>
      <c r="N203" s="778">
        <f>+L203</f>
        <v>0</v>
      </c>
      <c r="O203" s="777"/>
      <c r="P203" s="777"/>
      <c r="Q203" s="778"/>
      <c r="R203" s="777"/>
      <c r="T203" s="778"/>
      <c r="U203" s="773">
        <f>+L203</f>
        <v>0</v>
      </c>
      <c r="W203" s="746"/>
    </row>
    <row r="204" spans="2:23" hidden="1" x14ac:dyDescent="0.25">
      <c r="B204" s="769" t="s">
        <v>957</v>
      </c>
      <c r="C204" s="779"/>
      <c r="D204" s="779"/>
      <c r="E204" s="779"/>
      <c r="F204" s="779"/>
      <c r="G204" s="779"/>
      <c r="H204" s="779"/>
      <c r="I204" s="777"/>
      <c r="J204" s="778"/>
      <c r="L204" s="778"/>
      <c r="M204" s="777"/>
      <c r="N204" s="778"/>
      <c r="O204" s="777"/>
      <c r="P204" s="777"/>
      <c r="Q204" s="778"/>
      <c r="R204" s="777"/>
      <c r="T204" s="778"/>
      <c r="U204" s="773">
        <f>+L204</f>
        <v>0</v>
      </c>
      <c r="W204" s="746"/>
    </row>
    <row r="205" spans="2:23" hidden="1" x14ac:dyDescent="0.25">
      <c r="B205" s="779" t="s">
        <v>769</v>
      </c>
      <c r="C205" s="779"/>
      <c r="D205" s="779"/>
      <c r="E205" s="779"/>
      <c r="F205" s="779"/>
      <c r="G205" s="779"/>
      <c r="H205" s="779"/>
      <c r="I205" s="777"/>
      <c r="J205" s="778"/>
      <c r="L205" s="778"/>
      <c r="M205" s="777"/>
      <c r="N205" s="778"/>
      <c r="O205" s="777">
        <f>+L205</f>
        <v>0</v>
      </c>
      <c r="P205" s="777"/>
      <c r="Q205" s="778"/>
      <c r="R205" s="777"/>
      <c r="T205" s="773">
        <f>+L205</f>
        <v>0</v>
      </c>
      <c r="W205" s="746"/>
    </row>
    <row r="206" spans="2:23" x14ac:dyDescent="0.25">
      <c r="B206" s="779" t="s">
        <v>1563</v>
      </c>
      <c r="C206" s="779"/>
      <c r="D206" s="779"/>
      <c r="E206" s="779"/>
      <c r="F206" s="779"/>
      <c r="G206" s="779"/>
      <c r="H206" s="779"/>
      <c r="I206" s="777"/>
      <c r="J206" s="778"/>
      <c r="L206" s="778">
        <v>250000</v>
      </c>
      <c r="M206" s="777"/>
      <c r="N206" s="778"/>
      <c r="O206" s="777"/>
      <c r="P206" s="777"/>
      <c r="Q206" s="778"/>
      <c r="R206" s="777"/>
      <c r="W206" s="746"/>
    </row>
    <row r="207" spans="2:23" x14ac:dyDescent="0.25">
      <c r="B207" s="779" t="s">
        <v>1077</v>
      </c>
      <c r="C207" s="779"/>
      <c r="D207" s="779"/>
      <c r="E207" s="779"/>
      <c r="F207" s="779"/>
      <c r="G207" s="779"/>
      <c r="H207" s="779"/>
      <c r="I207" s="777">
        <v>20000</v>
      </c>
      <c r="J207" s="778">
        <v>20000</v>
      </c>
      <c r="L207" s="778"/>
      <c r="M207" s="777"/>
      <c r="N207" s="778"/>
      <c r="O207" s="778"/>
      <c r="P207" s="777"/>
      <c r="Q207" s="778"/>
      <c r="R207" s="777"/>
      <c r="W207" s="746"/>
    </row>
    <row r="208" spans="2:23" hidden="1" x14ac:dyDescent="0.25">
      <c r="B208" s="779" t="s">
        <v>1187</v>
      </c>
      <c r="C208" s="779"/>
      <c r="D208" s="779"/>
      <c r="E208" s="779"/>
      <c r="F208" s="779"/>
      <c r="G208" s="779"/>
      <c r="H208" s="779"/>
      <c r="I208" s="777">
        <v>25000</v>
      </c>
      <c r="J208" s="778"/>
      <c r="L208" s="778"/>
      <c r="M208" s="777"/>
      <c r="N208" s="778"/>
      <c r="O208" s="777"/>
      <c r="P208" s="777"/>
      <c r="Q208" s="778"/>
      <c r="R208" s="777"/>
      <c r="W208" s="746"/>
    </row>
    <row r="209" spans="2:23" x14ac:dyDescent="0.25">
      <c r="B209" s="779" t="s">
        <v>1271</v>
      </c>
      <c r="C209" s="779"/>
      <c r="D209" s="779"/>
      <c r="E209" s="779"/>
      <c r="F209" s="779"/>
      <c r="G209" s="779"/>
      <c r="H209" s="779"/>
      <c r="I209" s="777"/>
      <c r="J209" s="778">
        <v>55000</v>
      </c>
      <c r="L209" s="778"/>
      <c r="M209" s="777"/>
      <c r="N209" s="778"/>
      <c r="O209" s="777"/>
      <c r="P209" s="777"/>
      <c r="Q209" s="778"/>
      <c r="R209" s="777"/>
      <c r="W209" s="746"/>
    </row>
    <row r="210" spans="2:23" x14ac:dyDescent="0.25">
      <c r="B210" s="779" t="s">
        <v>1272</v>
      </c>
      <c r="C210" s="779"/>
      <c r="D210" s="779"/>
      <c r="E210" s="779"/>
      <c r="F210" s="779"/>
      <c r="G210" s="779"/>
      <c r="H210" s="779"/>
      <c r="I210" s="777"/>
      <c r="J210" s="778">
        <v>25500</v>
      </c>
      <c r="L210" s="778"/>
      <c r="M210" s="777"/>
      <c r="N210" s="778"/>
      <c r="O210" s="777"/>
      <c r="P210" s="777"/>
      <c r="Q210" s="778"/>
      <c r="R210" s="777"/>
      <c r="W210" s="746"/>
    </row>
    <row r="211" spans="2:23" x14ac:dyDescent="0.25">
      <c r="B211" s="779" t="s">
        <v>1282</v>
      </c>
      <c r="C211" s="779"/>
      <c r="D211" s="779"/>
      <c r="E211" s="779"/>
      <c r="F211" s="779"/>
      <c r="G211" s="779"/>
      <c r="H211" s="779"/>
      <c r="I211" s="777"/>
      <c r="J211" s="778">
        <v>50000</v>
      </c>
      <c r="L211" s="778"/>
      <c r="M211" s="777"/>
      <c r="N211" s="778"/>
      <c r="O211" s="777"/>
      <c r="P211" s="777"/>
      <c r="Q211" s="778"/>
      <c r="R211" s="777"/>
      <c r="W211" s="746"/>
    </row>
    <row r="212" spans="2:23" hidden="1" x14ac:dyDescent="0.25">
      <c r="B212" s="779" t="s">
        <v>1380</v>
      </c>
      <c r="C212" s="779"/>
      <c r="D212" s="779"/>
      <c r="E212" s="779"/>
      <c r="F212" s="779"/>
      <c r="G212" s="779"/>
      <c r="H212" s="779"/>
      <c r="I212" s="777"/>
      <c r="J212" s="777"/>
      <c r="K212" s="799"/>
      <c r="L212" s="778"/>
      <c r="M212" s="777"/>
      <c r="N212" s="778"/>
      <c r="O212" s="777"/>
      <c r="P212" s="777">
        <f>+L212</f>
        <v>0</v>
      </c>
      <c r="Q212" s="778"/>
      <c r="R212" s="777"/>
      <c r="W212" s="746"/>
    </row>
    <row r="213" spans="2:23" hidden="1" x14ac:dyDescent="0.25">
      <c r="B213" s="786" t="s">
        <v>1381</v>
      </c>
      <c r="C213" s="779"/>
      <c r="D213" s="779"/>
      <c r="E213" s="779"/>
      <c r="F213" s="779"/>
      <c r="G213" s="779"/>
      <c r="H213" s="779"/>
      <c r="I213" s="777"/>
      <c r="J213" s="777"/>
      <c r="K213" s="799"/>
      <c r="L213" s="778"/>
      <c r="M213" s="777"/>
      <c r="N213" s="778"/>
      <c r="O213" s="777"/>
      <c r="P213" s="777">
        <f>+N213</f>
        <v>0</v>
      </c>
      <c r="Q213" s="778"/>
      <c r="R213" s="777"/>
      <c r="W213" s="746"/>
    </row>
    <row r="214" spans="2:23" x14ac:dyDescent="0.25">
      <c r="B214" s="1130" t="s">
        <v>1922</v>
      </c>
      <c r="C214" s="779"/>
      <c r="D214" s="779"/>
      <c r="E214" s="779"/>
      <c r="F214" s="779"/>
      <c r="G214" s="779"/>
      <c r="H214" s="779"/>
      <c r="I214" s="777"/>
      <c r="J214" s="777"/>
      <c r="K214" s="799"/>
      <c r="L214" s="778"/>
      <c r="M214" s="777"/>
      <c r="N214" s="778"/>
      <c r="O214" s="777"/>
      <c r="P214" s="777"/>
      <c r="Q214" s="778"/>
      <c r="R214" s="777">
        <f>+N214</f>
        <v>0</v>
      </c>
      <c r="W214" s="746"/>
    </row>
    <row r="215" spans="2:23" x14ac:dyDescent="0.25">
      <c r="B215" s="1130" t="s">
        <v>1675</v>
      </c>
      <c r="C215" s="779"/>
      <c r="D215" s="779"/>
      <c r="E215" s="779"/>
      <c r="F215" s="779"/>
      <c r="G215" s="779"/>
      <c r="H215" s="779"/>
      <c r="I215" s="777"/>
      <c r="J215" s="777"/>
      <c r="K215" s="799"/>
      <c r="L215" s="778"/>
      <c r="M215" s="777"/>
      <c r="N215" s="778">
        <f>+M215</f>
        <v>0</v>
      </c>
      <c r="O215" s="777">
        <f>+N215</f>
        <v>0</v>
      </c>
      <c r="P215" s="777"/>
      <c r="Q215" s="778"/>
      <c r="R215" s="777"/>
      <c r="W215" s="746"/>
    </row>
    <row r="216" spans="2:23" x14ac:dyDescent="0.25">
      <c r="B216" s="786" t="s">
        <v>1582</v>
      </c>
      <c r="C216" s="779"/>
      <c r="D216" s="779"/>
      <c r="E216" s="779"/>
      <c r="F216" s="779"/>
      <c r="G216" s="779"/>
      <c r="H216" s="779"/>
      <c r="I216" s="777"/>
      <c r="J216" s="777"/>
      <c r="K216" s="799">
        <v>700</v>
      </c>
      <c r="L216" s="778">
        <f>+K216</f>
        <v>700</v>
      </c>
      <c r="M216" s="777"/>
      <c r="N216" s="778"/>
      <c r="O216" s="777"/>
      <c r="P216" s="777">
        <f>+N216</f>
        <v>0</v>
      </c>
      <c r="Q216" s="778"/>
      <c r="R216" s="777"/>
      <c r="W216" s="746"/>
    </row>
    <row r="217" spans="2:23" x14ac:dyDescent="0.25">
      <c r="B217" s="786" t="s">
        <v>1583</v>
      </c>
      <c r="C217" s="779"/>
      <c r="D217" s="779"/>
      <c r="E217" s="779"/>
      <c r="F217" s="779"/>
      <c r="G217" s="779"/>
      <c r="H217" s="779"/>
      <c r="I217" s="777"/>
      <c r="J217" s="777"/>
      <c r="K217" s="799">
        <v>10000</v>
      </c>
      <c r="L217" s="778">
        <f>+K217</f>
        <v>10000</v>
      </c>
      <c r="M217" s="777"/>
      <c r="N217" s="778"/>
      <c r="O217" s="777"/>
      <c r="P217" s="777"/>
      <c r="Q217" s="778"/>
      <c r="R217" s="777"/>
      <c r="W217" s="746"/>
    </row>
    <row r="218" spans="2:23" x14ac:dyDescent="0.25">
      <c r="B218" s="786" t="s">
        <v>1382</v>
      </c>
      <c r="C218" s="779"/>
      <c r="D218" s="779"/>
      <c r="E218" s="779"/>
      <c r="F218" s="779"/>
      <c r="G218" s="779"/>
      <c r="H218" s="779"/>
      <c r="I218" s="777"/>
      <c r="J218" s="777"/>
      <c r="K218" s="799">
        <v>60000</v>
      </c>
      <c r="L218" s="778"/>
      <c r="M218" s="777"/>
      <c r="N218" s="778"/>
      <c r="O218" s="777"/>
      <c r="P218" s="777">
        <f>+L218</f>
        <v>0</v>
      </c>
      <c r="Q218" s="778"/>
      <c r="R218" s="777"/>
      <c r="W218" s="746"/>
    </row>
    <row r="219" spans="2:23" hidden="1" x14ac:dyDescent="0.25">
      <c r="B219" s="786" t="s">
        <v>1387</v>
      </c>
      <c r="C219" s="779"/>
      <c r="D219" s="779"/>
      <c r="E219" s="779"/>
      <c r="F219" s="779"/>
      <c r="G219" s="779"/>
      <c r="H219" s="779"/>
      <c r="I219" s="777"/>
      <c r="J219" s="777"/>
      <c r="K219" s="799"/>
      <c r="L219" s="778"/>
      <c r="M219" s="777"/>
      <c r="N219" s="778"/>
      <c r="O219" s="777"/>
      <c r="P219" s="777">
        <f>+L219</f>
        <v>0</v>
      </c>
      <c r="Q219" s="778"/>
      <c r="R219" s="777"/>
      <c r="W219" s="746"/>
    </row>
    <row r="220" spans="2:23" x14ac:dyDescent="0.25">
      <c r="B220" s="786" t="s">
        <v>1383</v>
      </c>
      <c r="C220" s="779"/>
      <c r="D220" s="779"/>
      <c r="E220" s="779"/>
      <c r="F220" s="779"/>
      <c r="G220" s="779"/>
      <c r="H220" s="779"/>
      <c r="I220" s="777"/>
      <c r="J220" s="777"/>
      <c r="K220" s="799">
        <v>37260</v>
      </c>
      <c r="L220" s="778"/>
      <c r="M220" s="777"/>
      <c r="N220" s="778"/>
      <c r="O220" s="777"/>
      <c r="P220" s="777">
        <f>+L220</f>
        <v>0</v>
      </c>
      <c r="Q220" s="778"/>
      <c r="R220" s="777"/>
      <c r="W220" s="746"/>
    </row>
    <row r="221" spans="2:23" hidden="1" x14ac:dyDescent="0.25">
      <c r="B221" s="786" t="s">
        <v>1493</v>
      </c>
      <c r="C221" s="779"/>
      <c r="D221" s="779"/>
      <c r="E221" s="779"/>
      <c r="F221" s="779"/>
      <c r="G221" s="779"/>
      <c r="H221" s="779"/>
      <c r="I221" s="777"/>
      <c r="J221" s="777"/>
      <c r="K221" s="799"/>
      <c r="L221" s="778"/>
      <c r="M221" s="777"/>
      <c r="N221" s="778">
        <f>+L221</f>
        <v>0</v>
      </c>
      <c r="O221" s="777">
        <f>+N221</f>
        <v>0</v>
      </c>
      <c r="P221" s="777"/>
      <c r="Q221" s="778"/>
      <c r="R221" s="777"/>
      <c r="W221" s="746"/>
    </row>
    <row r="222" spans="2:23" x14ac:dyDescent="0.25">
      <c r="B222" s="786" t="s">
        <v>1872</v>
      </c>
      <c r="C222" s="779"/>
      <c r="D222" s="779"/>
      <c r="E222" s="779"/>
      <c r="F222" s="779"/>
      <c r="G222" s="779"/>
      <c r="H222" s="779"/>
      <c r="I222" s="777"/>
      <c r="J222" s="777"/>
      <c r="K222" s="799"/>
      <c r="L222" s="778"/>
      <c r="M222" s="777">
        <v>130000</v>
      </c>
      <c r="N222" s="778">
        <f>+M222</f>
        <v>130000</v>
      </c>
      <c r="O222" s="777"/>
      <c r="P222" s="777">
        <f>+N222</f>
        <v>130000</v>
      </c>
      <c r="Q222" s="778"/>
      <c r="R222" s="777"/>
      <c r="W222" s="746"/>
    </row>
    <row r="223" spans="2:23" x14ac:dyDescent="0.25">
      <c r="B223" s="786" t="s">
        <v>1678</v>
      </c>
      <c r="C223" s="779"/>
      <c r="D223" s="779"/>
      <c r="E223" s="779"/>
      <c r="F223" s="779"/>
      <c r="G223" s="779"/>
      <c r="H223" s="779"/>
      <c r="I223" s="777"/>
      <c r="J223" s="777"/>
      <c r="K223" s="799"/>
      <c r="L223" s="778"/>
      <c r="M223" s="777">
        <v>100000</v>
      </c>
      <c r="N223" s="778">
        <f>+M223</f>
        <v>100000</v>
      </c>
      <c r="O223" s="777"/>
      <c r="P223" s="777"/>
      <c r="Q223" s="778"/>
      <c r="R223" s="777">
        <f>+N223</f>
        <v>100000</v>
      </c>
      <c r="W223" s="746"/>
    </row>
    <row r="224" spans="2:23" x14ac:dyDescent="0.25">
      <c r="B224" s="1130" t="s">
        <v>1887</v>
      </c>
      <c r="C224" s="779"/>
      <c r="D224" s="779"/>
      <c r="E224" s="779"/>
      <c r="F224" s="779"/>
      <c r="G224" s="779"/>
      <c r="H224" s="779"/>
      <c r="I224" s="777"/>
      <c r="J224" s="777"/>
      <c r="K224" s="799"/>
      <c r="L224" s="778"/>
      <c r="M224" s="777"/>
      <c r="N224" s="778">
        <f>+M224</f>
        <v>0</v>
      </c>
      <c r="O224" s="777"/>
      <c r="P224" s="777">
        <f>+N224</f>
        <v>0</v>
      </c>
      <c r="Q224" s="778"/>
      <c r="R224" s="777"/>
      <c r="W224" s="746"/>
    </row>
    <row r="225" spans="1:23" x14ac:dyDescent="0.25">
      <c r="B225" s="786" t="s">
        <v>1384</v>
      </c>
      <c r="C225" s="779"/>
      <c r="D225" s="779"/>
      <c r="E225" s="779"/>
      <c r="F225" s="779"/>
      <c r="G225" s="779"/>
      <c r="H225" s="779"/>
      <c r="I225" s="777"/>
      <c r="J225" s="777"/>
      <c r="K225" s="799">
        <v>100000</v>
      </c>
      <c r="L225" s="778"/>
      <c r="M225" s="777"/>
      <c r="N225" s="778"/>
      <c r="O225" s="777"/>
      <c r="P225" s="777"/>
      <c r="Q225" s="778"/>
      <c r="R225" s="777"/>
      <c r="U225" s="773">
        <f>+L225</f>
        <v>0</v>
      </c>
      <c r="W225" s="746"/>
    </row>
    <row r="226" spans="1:23" x14ac:dyDescent="0.25">
      <c r="B226" s="786" t="s">
        <v>1385</v>
      </c>
      <c r="C226" s="779"/>
      <c r="D226" s="779"/>
      <c r="E226" s="779"/>
      <c r="F226" s="779"/>
      <c r="G226" s="779"/>
      <c r="H226" s="779"/>
      <c r="I226" s="777"/>
      <c r="J226" s="777"/>
      <c r="K226" s="778">
        <v>40000</v>
      </c>
      <c r="L226" s="778"/>
      <c r="M226" s="777"/>
      <c r="N226" s="778"/>
      <c r="O226" s="777"/>
      <c r="P226" s="777"/>
      <c r="Q226" s="778"/>
      <c r="R226" s="777"/>
      <c r="W226" s="746"/>
    </row>
    <row r="227" spans="1:23" x14ac:dyDescent="0.25">
      <c r="B227" s="786" t="s">
        <v>1388</v>
      </c>
      <c r="C227" s="779"/>
      <c r="D227" s="779"/>
      <c r="E227" s="779"/>
      <c r="F227" s="779"/>
      <c r="G227" s="779"/>
      <c r="H227" s="779"/>
      <c r="I227" s="777"/>
      <c r="J227" s="777"/>
      <c r="K227" s="778">
        <v>51000</v>
      </c>
      <c r="L227" s="778"/>
      <c r="M227" s="777"/>
      <c r="N227" s="778"/>
      <c r="O227" s="777"/>
      <c r="P227" s="777"/>
      <c r="Q227" s="778"/>
      <c r="R227" s="777"/>
      <c r="W227" s="746"/>
    </row>
    <row r="228" spans="1:23" hidden="1" x14ac:dyDescent="0.25">
      <c r="A228" s="960"/>
      <c r="B228" s="786"/>
      <c r="C228" s="779"/>
      <c r="D228" s="779"/>
      <c r="E228" s="779"/>
      <c r="F228" s="779"/>
      <c r="G228" s="779"/>
      <c r="H228" s="779"/>
      <c r="I228" s="777"/>
      <c r="J228" s="777"/>
      <c r="K228" s="799"/>
      <c r="L228" s="778"/>
      <c r="M228" s="777"/>
      <c r="N228" s="778"/>
      <c r="O228" s="777"/>
      <c r="P228" s="777"/>
      <c r="Q228" s="778"/>
      <c r="R228" s="777"/>
      <c r="W228" s="746"/>
    </row>
    <row r="229" spans="1:23" hidden="1" x14ac:dyDescent="0.25">
      <c r="A229" s="960"/>
      <c r="B229" s="786"/>
      <c r="C229" s="779"/>
      <c r="D229" s="779"/>
      <c r="E229" s="779"/>
      <c r="F229" s="779"/>
      <c r="G229" s="779"/>
      <c r="H229" s="779"/>
      <c r="I229" s="777"/>
      <c r="J229" s="777"/>
      <c r="K229" s="799"/>
      <c r="L229" s="778"/>
      <c r="M229" s="777"/>
      <c r="N229" s="778"/>
      <c r="O229" s="777"/>
      <c r="P229" s="777"/>
      <c r="Q229" s="778"/>
      <c r="R229" s="777"/>
      <c r="W229" s="746"/>
    </row>
    <row r="230" spans="1:23" hidden="1" x14ac:dyDescent="0.25">
      <c r="A230" s="960"/>
      <c r="B230" s="786"/>
      <c r="C230" s="779"/>
      <c r="D230" s="779"/>
      <c r="E230" s="779"/>
      <c r="F230" s="779"/>
      <c r="G230" s="779"/>
      <c r="H230" s="779"/>
      <c r="I230" s="777"/>
      <c r="J230" s="777"/>
      <c r="K230" s="799"/>
      <c r="L230" s="778"/>
      <c r="M230" s="777"/>
      <c r="N230" s="778"/>
      <c r="O230" s="777"/>
      <c r="P230" s="777"/>
      <c r="Q230" s="778"/>
      <c r="R230" s="777"/>
      <c r="W230" s="746"/>
    </row>
    <row r="231" spans="1:23" hidden="1" x14ac:dyDescent="0.25">
      <c r="A231" s="960"/>
      <c r="B231" s="786"/>
      <c r="C231" s="779"/>
      <c r="D231" s="779"/>
      <c r="E231" s="779"/>
      <c r="F231" s="779"/>
      <c r="G231" s="779"/>
      <c r="H231" s="779"/>
      <c r="I231" s="777"/>
      <c r="J231" s="777"/>
      <c r="K231" s="799"/>
      <c r="L231" s="778"/>
      <c r="M231" s="777"/>
      <c r="N231" s="778"/>
      <c r="O231" s="777"/>
      <c r="P231" s="777"/>
      <c r="Q231" s="778"/>
      <c r="R231" s="777"/>
      <c r="W231" s="746"/>
    </row>
    <row r="232" spans="1:23" hidden="1" x14ac:dyDescent="0.25">
      <c r="A232" s="960"/>
      <c r="B232" s="779"/>
      <c r="C232" s="779"/>
      <c r="D232" s="779"/>
      <c r="E232" s="779"/>
      <c r="F232" s="779"/>
      <c r="G232" s="779"/>
      <c r="H232" s="779"/>
      <c r="I232" s="777"/>
      <c r="J232" s="777"/>
      <c r="K232" s="799"/>
      <c r="L232" s="778"/>
      <c r="M232" s="777"/>
      <c r="N232" s="778"/>
      <c r="O232" s="777"/>
      <c r="P232" s="777"/>
      <c r="Q232" s="778"/>
      <c r="R232" s="777"/>
      <c r="W232" s="746"/>
    </row>
    <row r="233" spans="1:23" x14ac:dyDescent="0.25">
      <c r="A233" s="960"/>
      <c r="B233" s="1145" t="s">
        <v>1677</v>
      </c>
      <c r="C233" s="779"/>
      <c r="D233" s="779"/>
      <c r="E233" s="779"/>
      <c r="F233" s="779"/>
      <c r="G233" s="779"/>
      <c r="H233" s="779"/>
      <c r="I233" s="777"/>
      <c r="J233" s="777"/>
      <c r="K233" s="799"/>
      <c r="L233" s="778"/>
      <c r="M233" s="777"/>
      <c r="N233" s="778"/>
      <c r="O233" s="777"/>
      <c r="P233" s="777"/>
      <c r="Q233" s="778"/>
      <c r="R233" s="777"/>
      <c r="U233" s="773">
        <f>+N233</f>
        <v>0</v>
      </c>
      <c r="W233" s="746"/>
    </row>
    <row r="234" spans="1:23" x14ac:dyDescent="0.25">
      <c r="A234" s="960"/>
      <c r="B234" s="779" t="s">
        <v>1679</v>
      </c>
      <c r="C234" s="779"/>
      <c r="D234" s="779"/>
      <c r="E234" s="779"/>
      <c r="F234" s="779"/>
      <c r="G234" s="779"/>
      <c r="H234" s="779"/>
      <c r="I234" s="777"/>
      <c r="J234" s="777"/>
      <c r="K234" s="799"/>
      <c r="L234" s="778"/>
      <c r="M234" s="777">
        <v>130000</v>
      </c>
      <c r="N234" s="778">
        <f>+M234</f>
        <v>130000</v>
      </c>
      <c r="O234" s="777"/>
      <c r="P234" s="777"/>
      <c r="Q234" s="778"/>
      <c r="R234" s="777"/>
      <c r="U234" s="773">
        <f t="shared" ref="U234" si="28">+N234</f>
        <v>130000</v>
      </c>
      <c r="W234" s="746"/>
    </row>
    <row r="235" spans="1:23" hidden="1" x14ac:dyDescent="0.25">
      <c r="A235" s="960"/>
      <c r="B235" s="779"/>
      <c r="C235" s="779"/>
      <c r="D235" s="779"/>
      <c r="E235" s="779"/>
      <c r="F235" s="779"/>
      <c r="G235" s="779"/>
      <c r="H235" s="779"/>
      <c r="I235" s="777"/>
      <c r="J235" s="777"/>
      <c r="K235" s="799"/>
      <c r="L235" s="778"/>
      <c r="M235" s="777"/>
      <c r="N235" s="778"/>
      <c r="O235" s="777"/>
      <c r="P235" s="777"/>
      <c r="Q235" s="778"/>
      <c r="R235" s="777"/>
      <c r="W235" s="746"/>
    </row>
    <row r="236" spans="1:23" s="120" customFormat="1" x14ac:dyDescent="0.25">
      <c r="A236" s="1007"/>
      <c r="B236" s="779" t="s">
        <v>1573</v>
      </c>
      <c r="C236" s="779"/>
      <c r="D236" s="779"/>
      <c r="E236" s="779"/>
      <c r="F236" s="779"/>
      <c r="G236" s="779"/>
      <c r="H236" s="779"/>
      <c r="I236" s="777"/>
      <c r="J236" s="777"/>
      <c r="K236" s="799"/>
      <c r="L236" s="778">
        <f>+M21</f>
        <v>238800</v>
      </c>
      <c r="M236" s="777">
        <f>86900+86900</f>
        <v>173800</v>
      </c>
      <c r="N236" s="778">
        <f>+M236</f>
        <v>173800</v>
      </c>
      <c r="O236" s="777"/>
      <c r="P236" s="777"/>
      <c r="Q236" s="778">
        <f>+N236</f>
        <v>173800</v>
      </c>
      <c r="R236" s="777"/>
      <c r="S236" s="777"/>
      <c r="T236" s="777"/>
      <c r="U236" s="777"/>
      <c r="V236" s="777"/>
      <c r="W236" s="1008"/>
    </row>
    <row r="237" spans="1:23" ht="15.6" x14ac:dyDescent="0.3">
      <c r="B237" s="779" t="s">
        <v>98</v>
      </c>
      <c r="C237" s="779"/>
      <c r="D237" s="779"/>
      <c r="E237" s="779"/>
      <c r="F237" s="779"/>
      <c r="G237" s="779"/>
      <c r="H237" s="779"/>
      <c r="I237" s="777">
        <v>97375</v>
      </c>
      <c r="J237" s="777"/>
      <c r="K237" s="799">
        <f>+'Colle 228 183'!K30</f>
        <v>79750</v>
      </c>
      <c r="L237" s="778">
        <v>78950</v>
      </c>
      <c r="M237" s="777">
        <f>+'Colle 228 183'!O30</f>
        <v>49950</v>
      </c>
      <c r="N237" s="778">
        <f>+'Colle 228 183'!P30</f>
        <v>49950</v>
      </c>
      <c r="O237" s="778"/>
      <c r="P237" s="777"/>
      <c r="Q237" s="778">
        <f>+N237</f>
        <v>49950</v>
      </c>
      <c r="R237" s="777"/>
      <c r="V237" s="781"/>
      <c r="W237" s="746"/>
    </row>
    <row r="238" spans="1:23" hidden="1" x14ac:dyDescent="0.25">
      <c r="B238" s="779" t="s">
        <v>771</v>
      </c>
      <c r="C238" s="779"/>
      <c r="D238" s="779"/>
      <c r="E238" s="779"/>
      <c r="F238" s="779"/>
      <c r="G238" s="779"/>
      <c r="H238" s="779"/>
      <c r="I238" s="777"/>
      <c r="J238" s="777"/>
      <c r="K238" s="799"/>
      <c r="L238" s="778"/>
      <c r="M238" s="777"/>
      <c r="N238" s="778"/>
      <c r="O238" s="778"/>
      <c r="P238" s="777"/>
      <c r="Q238" s="778"/>
      <c r="R238" s="777"/>
      <c r="V238" s="773">
        <f>+L238</f>
        <v>0</v>
      </c>
      <c r="W238" s="746"/>
    </row>
    <row r="239" spans="1:23" hidden="1" x14ac:dyDescent="0.25">
      <c r="B239" s="779" t="s">
        <v>772</v>
      </c>
      <c r="C239" s="779"/>
      <c r="D239" s="779"/>
      <c r="E239" s="779"/>
      <c r="F239" s="779"/>
      <c r="G239" s="779"/>
      <c r="H239" s="779"/>
      <c r="I239" s="777"/>
      <c r="J239" s="777"/>
      <c r="K239" s="799"/>
      <c r="L239" s="778"/>
      <c r="M239" s="777"/>
      <c r="N239" s="778"/>
      <c r="O239" s="778"/>
      <c r="P239" s="777"/>
      <c r="Q239" s="778"/>
      <c r="R239" s="777"/>
      <c r="W239" s="746"/>
    </row>
    <row r="240" spans="1:23" hidden="1" x14ac:dyDescent="0.25">
      <c r="B240" s="779" t="s">
        <v>774</v>
      </c>
      <c r="C240" s="779"/>
      <c r="D240" s="779"/>
      <c r="E240" s="779"/>
      <c r="F240" s="779"/>
      <c r="G240" s="779"/>
      <c r="H240" s="779"/>
      <c r="I240" s="777"/>
      <c r="J240" s="777"/>
      <c r="K240" s="799"/>
      <c r="L240" s="778"/>
      <c r="M240" s="777"/>
      <c r="N240" s="778"/>
      <c r="O240" s="778"/>
      <c r="P240" s="777"/>
      <c r="Q240" s="778"/>
      <c r="R240" s="777"/>
      <c r="W240" s="746"/>
    </row>
    <row r="241" spans="1:24" hidden="1" x14ac:dyDescent="0.25">
      <c r="B241" s="779" t="s">
        <v>775</v>
      </c>
      <c r="C241" s="779"/>
      <c r="D241" s="779"/>
      <c r="E241" s="779"/>
      <c r="F241" s="779"/>
      <c r="G241" s="779"/>
      <c r="H241" s="779"/>
      <c r="I241" s="777"/>
      <c r="J241" s="777"/>
      <c r="K241" s="799"/>
      <c r="L241" s="778"/>
      <c r="N241" s="778"/>
      <c r="O241" s="778"/>
      <c r="P241" s="777"/>
      <c r="Q241" s="778"/>
      <c r="R241" s="777"/>
      <c r="W241" s="746"/>
    </row>
    <row r="242" spans="1:24" ht="15.6" hidden="1" x14ac:dyDescent="0.3">
      <c r="A242" s="961"/>
      <c r="B242" s="779" t="s">
        <v>770</v>
      </c>
      <c r="C242" s="779"/>
      <c r="D242" s="779"/>
      <c r="E242" s="779"/>
      <c r="F242" s="779"/>
      <c r="G242" s="779"/>
      <c r="H242" s="779"/>
      <c r="I242" s="777"/>
      <c r="J242" s="777"/>
      <c r="K242" s="799"/>
      <c r="L242" s="778"/>
      <c r="N242" s="778"/>
      <c r="O242" s="778"/>
      <c r="P242" s="777"/>
      <c r="Q242" s="778"/>
      <c r="R242" s="777"/>
      <c r="S242" s="777"/>
      <c r="T242" s="777"/>
      <c r="V242" s="781"/>
      <c r="W242" s="746"/>
    </row>
    <row r="243" spans="1:24" hidden="1" x14ac:dyDescent="0.25">
      <c r="B243" s="769" t="s">
        <v>783</v>
      </c>
      <c r="C243" s="779"/>
      <c r="D243" s="779"/>
      <c r="E243" s="779"/>
      <c r="F243" s="779"/>
      <c r="G243" s="779"/>
      <c r="H243" s="779"/>
      <c r="I243" s="777"/>
      <c r="J243" s="777"/>
      <c r="L243" s="774"/>
      <c r="O243" s="774">
        <f>+L243</f>
        <v>0</v>
      </c>
      <c r="Q243" s="774"/>
      <c r="W243" s="746"/>
    </row>
    <row r="244" spans="1:24" x14ac:dyDescent="0.25">
      <c r="C244" s="779"/>
      <c r="D244" s="779"/>
      <c r="E244" s="779"/>
      <c r="F244" s="779"/>
      <c r="G244" s="779"/>
      <c r="H244" s="779"/>
      <c r="I244" s="777"/>
      <c r="J244" s="777"/>
      <c r="L244" s="774"/>
      <c r="Q244" s="774"/>
      <c r="W244" s="746"/>
    </row>
    <row r="245" spans="1:24" ht="15.6" x14ac:dyDescent="0.3">
      <c r="I245" s="773"/>
      <c r="J245" s="773"/>
      <c r="L245" s="774"/>
      <c r="Q245" s="774"/>
      <c r="V245" s="781"/>
      <c r="W245" s="746"/>
    </row>
    <row r="246" spans="1:24" x14ac:dyDescent="0.25">
      <c r="B246" s="769" t="s">
        <v>475</v>
      </c>
      <c r="I246" s="773">
        <f>SUM(I137:I245)</f>
        <v>1420206</v>
      </c>
      <c r="J246" s="773">
        <f>SUM(J137:J245)</f>
        <v>867320</v>
      </c>
      <c r="K246" s="796">
        <f>SUM(K137:K245)</f>
        <v>1159915</v>
      </c>
      <c r="L246" s="773">
        <f>SUM(M137:M245)</f>
        <v>1331498</v>
      </c>
      <c r="M246" s="773">
        <f t="shared" ref="M246" si="29">SUM(M137:M245)</f>
        <v>1331498</v>
      </c>
      <c r="N246" s="773">
        <f t="shared" ref="N246:T246" si="30">SUM(N137:N245)</f>
        <v>1331498</v>
      </c>
      <c r="O246" s="773">
        <f t="shared" si="30"/>
        <v>487748</v>
      </c>
      <c r="P246" s="773">
        <f t="shared" si="30"/>
        <v>200000</v>
      </c>
      <c r="Q246" s="773">
        <f t="shared" si="30"/>
        <v>288750</v>
      </c>
      <c r="R246" s="773">
        <f t="shared" si="30"/>
        <v>225000</v>
      </c>
      <c r="S246" s="773">
        <f t="shared" si="30"/>
        <v>0</v>
      </c>
      <c r="T246" s="773">
        <f t="shared" si="30"/>
        <v>0</v>
      </c>
      <c r="U246" s="773">
        <f>SUM(U136:U245)</f>
        <v>130000</v>
      </c>
      <c r="V246" s="773">
        <f>SUM(V137:V245)</f>
        <v>0</v>
      </c>
      <c r="W246" s="746"/>
    </row>
    <row r="247" spans="1:24" x14ac:dyDescent="0.25">
      <c r="I247" s="774"/>
      <c r="J247" s="774"/>
      <c r="L247" s="774"/>
      <c r="M247" s="774"/>
      <c r="O247" s="773"/>
      <c r="Q247" s="774"/>
    </row>
    <row r="248" spans="1:24" x14ac:dyDescent="0.25">
      <c r="B248" s="769" t="s">
        <v>122</v>
      </c>
      <c r="I248" s="774">
        <f t="shared" ref="I248:O248" si="31">+I133+I246</f>
        <v>23312174.899999999</v>
      </c>
      <c r="J248" s="774">
        <f t="shared" si="31"/>
        <v>23816774.66</v>
      </c>
      <c r="K248" s="774">
        <f t="shared" si="31"/>
        <v>25155624.66</v>
      </c>
      <c r="L248" s="774">
        <f t="shared" si="31"/>
        <v>27017831</v>
      </c>
      <c r="M248" s="774">
        <f t="shared" ref="M248" si="32">+M133+M246</f>
        <v>28067866</v>
      </c>
      <c r="N248" s="774">
        <f t="shared" si="31"/>
        <v>28067866</v>
      </c>
      <c r="O248" s="773">
        <f t="shared" si="31"/>
        <v>24302150</v>
      </c>
      <c r="P248" s="774">
        <f>+P246+P133</f>
        <v>200000</v>
      </c>
      <c r="Q248" s="773">
        <f t="shared" ref="Q248:V248" si="33">+Q133+Q246</f>
        <v>288763</v>
      </c>
      <c r="R248" s="773">
        <f t="shared" si="33"/>
        <v>225000</v>
      </c>
      <c r="S248" s="773">
        <f t="shared" si="33"/>
        <v>0</v>
      </c>
      <c r="T248" s="773">
        <f t="shared" si="33"/>
        <v>0</v>
      </c>
      <c r="U248" s="773">
        <f t="shared" si="33"/>
        <v>2735938</v>
      </c>
      <c r="V248" s="773">
        <f t="shared" si="33"/>
        <v>316015</v>
      </c>
    </row>
    <row r="249" spans="1:24" x14ac:dyDescent="0.25">
      <c r="B249" s="773"/>
      <c r="C249" s="773"/>
      <c r="D249" s="773"/>
      <c r="E249" s="773"/>
      <c r="F249" s="773"/>
      <c r="G249" s="773"/>
      <c r="H249" s="773"/>
      <c r="I249" s="773"/>
      <c r="J249" s="773"/>
      <c r="M249" s="774"/>
      <c r="O249" s="773"/>
      <c r="P249" s="774"/>
      <c r="Q249" s="774"/>
    </row>
    <row r="250" spans="1:24" x14ac:dyDescent="0.25">
      <c r="B250" s="773"/>
      <c r="C250" s="773"/>
      <c r="D250" s="773"/>
      <c r="E250" s="773"/>
      <c r="F250" s="773"/>
      <c r="G250" s="773"/>
      <c r="H250" s="773"/>
      <c r="I250" s="773"/>
      <c r="J250" s="773"/>
      <c r="M250" s="774"/>
      <c r="O250" s="773"/>
      <c r="Q250" s="774"/>
    </row>
    <row r="251" spans="1:24" x14ac:dyDescent="0.25">
      <c r="B251" s="769" t="s">
        <v>123</v>
      </c>
      <c r="M251" s="774"/>
      <c r="O251" s="773"/>
      <c r="Q251" s="774"/>
    </row>
    <row r="252" spans="1:24" x14ac:dyDescent="0.25">
      <c r="B252" s="769" t="s">
        <v>121</v>
      </c>
      <c r="I252" s="774">
        <f t="shared" ref="I252:V252" si="34">+I28</f>
        <v>24541002.5</v>
      </c>
      <c r="J252" s="774">
        <f t="shared" si="34"/>
        <v>25285879</v>
      </c>
      <c r="K252" s="796">
        <f t="shared" si="34"/>
        <v>26391003</v>
      </c>
      <c r="L252" s="796">
        <f t="shared" si="34"/>
        <v>26909302</v>
      </c>
      <c r="M252" s="774">
        <f t="shared" ref="M252" si="35">+M28</f>
        <v>28383875.670000002</v>
      </c>
      <c r="N252" s="774">
        <f t="shared" si="34"/>
        <v>28383875.670000002</v>
      </c>
      <c r="O252" s="774">
        <f t="shared" si="34"/>
        <v>24566917.670000002</v>
      </c>
      <c r="P252" s="774">
        <f t="shared" si="34"/>
        <v>251242</v>
      </c>
      <c r="Q252" s="774">
        <f t="shared" si="34"/>
        <v>288763</v>
      </c>
      <c r="R252" s="774">
        <f t="shared" si="34"/>
        <v>225000</v>
      </c>
      <c r="S252" s="774">
        <f t="shared" si="34"/>
        <v>0</v>
      </c>
      <c r="T252" s="774">
        <f t="shared" si="34"/>
        <v>0</v>
      </c>
      <c r="U252" s="774">
        <f t="shared" si="34"/>
        <v>2735938</v>
      </c>
      <c r="V252" s="774">
        <f t="shared" si="34"/>
        <v>316015</v>
      </c>
      <c r="X252" s="2"/>
    </row>
    <row r="253" spans="1:24" x14ac:dyDescent="0.25">
      <c r="B253" s="769" t="s">
        <v>122</v>
      </c>
      <c r="I253" s="774">
        <f t="shared" ref="I253:K253" si="36">-I248</f>
        <v>-23312174.899999999</v>
      </c>
      <c r="J253" s="774">
        <f t="shared" ref="J253" si="37">-J248</f>
        <v>-23816774.66</v>
      </c>
      <c r="K253" s="796">
        <f t="shared" si="36"/>
        <v>-25155624.66</v>
      </c>
      <c r="L253" s="796">
        <f t="shared" ref="L253:M253" si="38">-L248</f>
        <v>-27017831</v>
      </c>
      <c r="M253" s="774">
        <f t="shared" si="38"/>
        <v>-28067866</v>
      </c>
      <c r="N253" s="774">
        <f t="shared" ref="N253:V253" si="39">-N248</f>
        <v>-28067866</v>
      </c>
      <c r="O253" s="774">
        <f t="shared" si="39"/>
        <v>-24302150</v>
      </c>
      <c r="P253" s="774">
        <f t="shared" si="39"/>
        <v>-200000</v>
      </c>
      <c r="Q253" s="774">
        <f t="shared" si="39"/>
        <v>-288763</v>
      </c>
      <c r="R253" s="774">
        <f t="shared" si="39"/>
        <v>-225000</v>
      </c>
      <c r="S253" s="774">
        <f t="shared" si="39"/>
        <v>0</v>
      </c>
      <c r="T253" s="774">
        <f t="shared" si="39"/>
        <v>0</v>
      </c>
      <c r="U253" s="774">
        <f t="shared" si="39"/>
        <v>-2735938</v>
      </c>
      <c r="V253" s="774">
        <f t="shared" si="39"/>
        <v>-316015</v>
      </c>
      <c r="X253" s="2"/>
    </row>
    <row r="254" spans="1:24" x14ac:dyDescent="0.25">
      <c r="B254" s="773"/>
      <c r="C254" s="773"/>
      <c r="D254" s="773"/>
      <c r="E254" s="773"/>
      <c r="F254" s="773"/>
      <c r="G254" s="773"/>
      <c r="H254" s="773"/>
      <c r="I254" s="775"/>
      <c r="J254" s="775"/>
      <c r="K254" s="798"/>
      <c r="L254" s="798"/>
      <c r="M254" s="775"/>
      <c r="N254" s="775"/>
      <c r="O254" s="775"/>
      <c r="P254" s="775"/>
      <c r="Q254" s="775"/>
      <c r="R254" s="775"/>
      <c r="S254" s="775"/>
      <c r="T254" s="775"/>
      <c r="U254" s="775"/>
      <c r="V254" s="775"/>
      <c r="X254" s="2"/>
    </row>
    <row r="255" spans="1:24" ht="15.6" thickBot="1" x14ac:dyDescent="0.3">
      <c r="B255" s="769" t="s">
        <v>124</v>
      </c>
      <c r="I255" s="792">
        <f t="shared" ref="I255:K255" si="40">SUM(I252:I254)</f>
        <v>1228827.6000000015</v>
      </c>
      <c r="J255" s="792">
        <f t="shared" si="40"/>
        <v>1469104.3399999999</v>
      </c>
      <c r="K255" s="800">
        <f t="shared" si="40"/>
        <v>1235378.3399999999</v>
      </c>
      <c r="L255" s="800">
        <f t="shared" ref="L255:M255" si="41">SUM(L252:L254)</f>
        <v>-108529</v>
      </c>
      <c r="M255" s="792">
        <f t="shared" si="41"/>
        <v>316009.67000000179</v>
      </c>
      <c r="N255" s="792">
        <f t="shared" ref="N255:V255" si="42">SUM(N252:N254)</f>
        <v>316009.67000000179</v>
      </c>
      <c r="O255" s="792">
        <f t="shared" si="42"/>
        <v>264767.67000000179</v>
      </c>
      <c r="P255" s="792">
        <f t="shared" si="42"/>
        <v>51242</v>
      </c>
      <c r="Q255" s="792">
        <f t="shared" si="42"/>
        <v>0</v>
      </c>
      <c r="R255" s="792">
        <f t="shared" si="42"/>
        <v>0</v>
      </c>
      <c r="S255" s="792">
        <f t="shared" si="42"/>
        <v>0</v>
      </c>
      <c r="T255" s="792">
        <f t="shared" si="42"/>
        <v>0</v>
      </c>
      <c r="U255" s="792">
        <f t="shared" si="42"/>
        <v>0</v>
      </c>
      <c r="V255" s="792">
        <f t="shared" si="42"/>
        <v>0</v>
      </c>
      <c r="X255" s="2"/>
    </row>
    <row r="256" spans="1:24" ht="15.6" thickTop="1" x14ac:dyDescent="0.25">
      <c r="R256" s="773">
        <f>+'Financial Policy Numbers'!K32-385000</f>
        <v>1387034</v>
      </c>
      <c r="X256" s="2"/>
    </row>
    <row r="257" spans="1:23" s="120" customFormat="1" ht="16.8" x14ac:dyDescent="0.4">
      <c r="A257" s="959"/>
      <c r="B257" s="779"/>
      <c r="C257" s="779"/>
      <c r="D257" s="779"/>
      <c r="E257" s="779"/>
      <c r="F257" s="779"/>
      <c r="G257" s="779"/>
      <c r="H257" s="779"/>
      <c r="I257" s="779"/>
      <c r="J257" s="779"/>
      <c r="K257" s="799"/>
      <c r="L257" s="799"/>
      <c r="M257" s="787"/>
      <c r="N257" s="801" t="s">
        <v>1898</v>
      </c>
      <c r="O257" s="787">
        <v>-250000</v>
      </c>
      <c r="P257" s="787"/>
      <c r="Q257" s="777"/>
      <c r="R257" s="1066">
        <f>+R253</f>
        <v>-225000</v>
      </c>
      <c r="S257" s="777"/>
      <c r="T257" s="777"/>
      <c r="U257" s="777"/>
      <c r="V257" s="777"/>
      <c r="W257" s="766"/>
    </row>
    <row r="258" spans="1:23" s="120" customFormat="1" x14ac:dyDescent="0.25">
      <c r="A258" s="962"/>
      <c r="B258" s="769" t="s">
        <v>1858</v>
      </c>
      <c r="C258" s="769"/>
      <c r="D258" s="769"/>
      <c r="E258" s="769"/>
      <c r="F258" s="769"/>
      <c r="G258" s="769"/>
      <c r="H258" s="769"/>
      <c r="I258" s="769"/>
      <c r="J258" s="1133"/>
      <c r="K258" s="1133"/>
      <c r="L258" s="1133"/>
      <c r="M258" s="1133"/>
      <c r="N258" s="1133" t="s">
        <v>1899</v>
      </c>
      <c r="O258" s="1133">
        <f>SUM(O255:O257)</f>
        <v>14767.670000001788</v>
      </c>
      <c r="P258" s="787"/>
      <c r="Q258" s="777" t="s">
        <v>1682</v>
      </c>
      <c r="R258" s="777">
        <f>SUM(R256:R257)</f>
        <v>1162034</v>
      </c>
      <c r="S258" s="777"/>
      <c r="T258" s="777"/>
      <c r="U258" s="777"/>
      <c r="V258" s="777"/>
      <c r="W258" s="766"/>
    </row>
    <row r="259" spans="1:23" s="120" customFormat="1" x14ac:dyDescent="0.25">
      <c r="A259" s="962"/>
      <c r="B259" s="769"/>
      <c r="C259" s="769"/>
      <c r="D259" s="769"/>
      <c r="E259" s="769"/>
      <c r="F259" s="769"/>
      <c r="G259" s="769"/>
      <c r="H259" s="769"/>
      <c r="I259" s="769"/>
      <c r="J259" s="1134"/>
      <c r="K259" s="1134"/>
      <c r="L259" s="1134"/>
      <c r="M259" s="1134"/>
      <c r="N259" s="1134"/>
      <c r="O259" s="1134"/>
      <c r="P259" s="787"/>
      <c r="Q259" s="777"/>
      <c r="R259" s="777"/>
      <c r="S259" s="777"/>
      <c r="T259" s="777"/>
      <c r="U259" s="777"/>
      <c r="V259" s="777"/>
      <c r="W259" s="766"/>
    </row>
    <row r="260" spans="1:23" s="120" customFormat="1" x14ac:dyDescent="0.25">
      <c r="A260" s="962"/>
      <c r="B260" s="769"/>
      <c r="C260" s="769"/>
      <c r="D260" s="769"/>
      <c r="E260" s="769"/>
      <c r="F260" s="769"/>
      <c r="G260" s="769"/>
      <c r="H260" s="769"/>
      <c r="I260" s="769"/>
      <c r="J260" s="1105"/>
      <c r="K260" s="1105"/>
      <c r="L260" s="1105"/>
      <c r="M260" s="1105"/>
      <c r="N260" s="1105"/>
      <c r="O260"/>
      <c r="P260" s="787"/>
      <c r="Q260" s="777"/>
      <c r="R260" s="777"/>
      <c r="S260" s="777"/>
      <c r="T260" s="777"/>
      <c r="U260" s="777"/>
      <c r="V260" s="777"/>
      <c r="W260" s="766"/>
    </row>
    <row r="261" spans="1:23" s="120" customFormat="1" x14ac:dyDescent="0.25">
      <c r="A261" s="962"/>
      <c r="B261" s="769"/>
      <c r="C261" s="769"/>
      <c r="D261" s="769"/>
      <c r="E261" s="769"/>
      <c r="F261" s="769"/>
      <c r="G261" s="769"/>
      <c r="H261" s="769"/>
      <c r="I261" s="769"/>
      <c r="J261" s="1105"/>
      <c r="K261" s="1105"/>
      <c r="L261" s="1105"/>
      <c r="M261" s="1105"/>
      <c r="N261" s="1106"/>
      <c r="O261"/>
      <c r="P261" s="787"/>
      <c r="Q261" s="777"/>
      <c r="R261" s="777"/>
      <c r="S261" s="777"/>
      <c r="T261" s="777"/>
      <c r="U261" s="777"/>
      <c r="V261" s="777"/>
      <c r="W261" s="766"/>
    </row>
    <row r="262" spans="1:23" s="120" customFormat="1" ht="18" x14ac:dyDescent="0.25">
      <c r="A262" s="962"/>
      <c r="B262" s="1156"/>
      <c r="C262" s="1119"/>
      <c r="D262" s="1119"/>
      <c r="E262" s="1119"/>
      <c r="F262" s="1119"/>
      <c r="G262" s="1119"/>
      <c r="H262" s="1119"/>
      <c r="I262" s="1119"/>
      <c r="J262" s="1157"/>
      <c r="K262" s="1157"/>
      <c r="L262" s="1157"/>
      <c r="M262" s="1113"/>
      <c r="N262" s="1106"/>
      <c r="O262"/>
      <c r="P262" s="787"/>
      <c r="Q262" s="777"/>
      <c r="R262" s="777"/>
      <c r="S262" s="777"/>
      <c r="T262" s="777"/>
      <c r="U262" s="777"/>
      <c r="V262" s="777"/>
      <c r="W262" s="766"/>
    </row>
    <row r="263" spans="1:23" s="120" customFormat="1" ht="18" x14ac:dyDescent="0.25">
      <c r="A263" s="962"/>
      <c r="B263" s="1156"/>
      <c r="C263" s="1113"/>
      <c r="D263" s="1113"/>
      <c r="E263" s="1113"/>
      <c r="F263" s="1113"/>
      <c r="G263" s="1113"/>
      <c r="H263" s="1113"/>
      <c r="I263" s="1113"/>
      <c r="J263" s="1120"/>
      <c r="K263" s="1114"/>
      <c r="L263" s="1114"/>
      <c r="M263" s="1114"/>
      <c r="N263" s="1106"/>
      <c r="O263"/>
      <c r="P263" s="787"/>
      <c r="Q263" s="777"/>
      <c r="R263" s="777"/>
      <c r="S263" s="777"/>
      <c r="T263" s="777"/>
      <c r="U263" s="777"/>
      <c r="V263" s="777"/>
      <c r="W263" s="766"/>
    </row>
    <row r="264" spans="1:23" s="120" customFormat="1" ht="18" x14ac:dyDescent="0.25">
      <c r="A264" s="962"/>
      <c r="B264" s="1121"/>
      <c r="C264" s="1122"/>
      <c r="D264" s="1122"/>
      <c r="E264" s="1122"/>
      <c r="F264" s="1122"/>
      <c r="G264" s="1122"/>
      <c r="H264" s="1122"/>
      <c r="I264" s="1122"/>
      <c r="J264" s="1107"/>
      <c r="K264" s="1107"/>
      <c r="L264" s="1107"/>
      <c r="M264" s="1107"/>
      <c r="N264" s="1106"/>
      <c r="O264"/>
      <c r="P264" s="777"/>
      <c r="Q264" s="777"/>
      <c r="R264" s="777"/>
      <c r="S264" s="777"/>
      <c r="T264" s="777"/>
      <c r="U264" s="777"/>
      <c r="V264" s="777"/>
      <c r="W264" s="766"/>
    </row>
    <row r="265" spans="1:23" s="120" customFormat="1" ht="18" x14ac:dyDescent="0.25">
      <c r="A265" s="962"/>
      <c r="B265" s="1121"/>
      <c r="C265" s="1122"/>
      <c r="D265" s="1122"/>
      <c r="E265" s="1122"/>
      <c r="F265" s="1122"/>
      <c r="G265" s="1122"/>
      <c r="H265" s="1122"/>
      <c r="I265" s="1122"/>
      <c r="J265" s="1107"/>
      <c r="K265" s="1107"/>
      <c r="L265" s="1107"/>
      <c r="M265" s="1107"/>
      <c r="N265" s="1106"/>
      <c r="O265"/>
      <c r="P265" s="787"/>
      <c r="Q265" s="787"/>
      <c r="R265" s="793"/>
      <c r="S265" s="787"/>
      <c r="T265" s="138"/>
      <c r="U265" s="777"/>
      <c r="V265" s="777"/>
      <c r="W265" s="766"/>
    </row>
    <row r="266" spans="1:23" s="120" customFormat="1" ht="18" x14ac:dyDescent="0.25">
      <c r="A266" s="962"/>
      <c r="B266" s="1121"/>
      <c r="C266" s="1122"/>
      <c r="D266" s="1122"/>
      <c r="E266" s="1122"/>
      <c r="F266" s="1122"/>
      <c r="G266" s="1122"/>
      <c r="H266" s="1122"/>
      <c r="I266" s="1122"/>
      <c r="J266" s="1107"/>
      <c r="K266" s="1107"/>
      <c r="L266" s="1107"/>
      <c r="M266" s="1107"/>
      <c r="N266" s="1106"/>
      <c r="O266"/>
      <c r="P266" s="787"/>
      <c r="Q266" s="787"/>
      <c r="R266" s="793"/>
      <c r="S266" s="787"/>
      <c r="T266" s="138"/>
      <c r="U266" s="777"/>
      <c r="V266" s="777"/>
      <c r="W266" s="766"/>
    </row>
    <row r="267" spans="1:23" s="120" customFormat="1" ht="18" x14ac:dyDescent="0.25">
      <c r="A267" s="962"/>
      <c r="B267" s="1121"/>
      <c r="C267" s="1122"/>
      <c r="D267" s="1122"/>
      <c r="E267" s="1122"/>
      <c r="F267" s="1122"/>
      <c r="G267" s="1122"/>
      <c r="H267" s="1122"/>
      <c r="I267" s="1122"/>
      <c r="J267" s="1107"/>
      <c r="K267" s="1107"/>
      <c r="L267" s="1107"/>
      <c r="M267" s="1107"/>
      <c r="N267" s="1106"/>
      <c r="O267"/>
      <c r="P267" s="787"/>
      <c r="Q267" s="787"/>
      <c r="R267" s="793"/>
      <c r="S267" s="787"/>
      <c r="T267" s="138"/>
      <c r="U267" s="777"/>
      <c r="V267" s="777"/>
      <c r="W267" s="766"/>
    </row>
    <row r="268" spans="1:23" s="120" customFormat="1" ht="18" x14ac:dyDescent="0.25">
      <c r="A268" s="962"/>
      <c r="B268" s="1121"/>
      <c r="C268" s="1122"/>
      <c r="D268" s="1122"/>
      <c r="E268" s="1122"/>
      <c r="F268" s="1122"/>
      <c r="G268" s="1122"/>
      <c r="H268" s="1122"/>
      <c r="I268" s="1122"/>
      <c r="J268" s="1107"/>
      <c r="K268" s="1107"/>
      <c r="L268" s="1107"/>
      <c r="M268" s="1107"/>
      <c r="N268" s="1106"/>
      <c r="O268"/>
      <c r="P268" s="787"/>
      <c r="Q268" s="787"/>
      <c r="R268" s="793"/>
      <c r="S268" s="787"/>
      <c r="T268" s="138"/>
      <c r="U268" s="777"/>
      <c r="V268" s="777"/>
      <c r="W268" s="766"/>
    </row>
    <row r="269" spans="1:23" s="120" customFormat="1" ht="18" x14ac:dyDescent="0.25">
      <c r="A269" s="962"/>
      <c r="B269" s="1121"/>
      <c r="C269" s="1122"/>
      <c r="D269" s="1122"/>
      <c r="E269" s="1122"/>
      <c r="F269" s="1122"/>
      <c r="G269" s="1122"/>
      <c r="H269" s="1122"/>
      <c r="I269" s="1122"/>
      <c r="J269" s="1107"/>
      <c r="K269" s="1107"/>
      <c r="L269" s="1107"/>
      <c r="M269" s="1107"/>
      <c r="N269" s="1106"/>
      <c r="O269"/>
      <c r="P269" s="787"/>
      <c r="Q269" s="787"/>
      <c r="R269" s="793"/>
      <c r="S269" s="787"/>
      <c r="T269" s="787"/>
      <c r="U269" s="777"/>
      <c r="V269" s="777"/>
      <c r="W269" s="766"/>
    </row>
    <row r="270" spans="1:23" s="120" customFormat="1" ht="18" x14ac:dyDescent="0.25">
      <c r="A270" s="962"/>
      <c r="B270" s="1121"/>
      <c r="C270" s="1122"/>
      <c r="D270" s="1122"/>
      <c r="E270" s="1122"/>
      <c r="F270" s="1122"/>
      <c r="G270" s="1122"/>
      <c r="H270" s="1122"/>
      <c r="I270" s="1122"/>
      <c r="J270" s="1107"/>
      <c r="K270" s="1107"/>
      <c r="L270" s="1107"/>
      <c r="M270" s="1107"/>
      <c r="N270" s="1106"/>
      <c r="O270"/>
      <c r="P270" s="1094"/>
      <c r="Q270" s="1095"/>
      <c r="R270" s="787"/>
      <c r="S270" s="787"/>
      <c r="T270" s="787"/>
      <c r="U270" s="777"/>
      <c r="V270" s="777"/>
      <c r="W270" s="766"/>
    </row>
    <row r="271" spans="1:23" s="120" customFormat="1" ht="18" x14ac:dyDescent="0.25">
      <c r="A271" s="962"/>
      <c r="B271" s="1121"/>
      <c r="C271" s="1122"/>
      <c r="D271" s="1122"/>
      <c r="E271" s="1122"/>
      <c r="F271" s="1122"/>
      <c r="G271" s="1122"/>
      <c r="H271" s="1122"/>
      <c r="I271" s="1122"/>
      <c r="J271" s="1107"/>
      <c r="K271" s="1107"/>
      <c r="L271" s="1107"/>
      <c r="M271" s="1107"/>
      <c r="N271" s="1106"/>
      <c r="O271" s="778"/>
      <c r="P271" s="1101"/>
      <c r="Q271" s="1102"/>
      <c r="R271" s="1096"/>
      <c r="S271" s="787"/>
      <c r="T271" s="787"/>
      <c r="U271" s="777"/>
      <c r="V271" s="777"/>
      <c r="W271" s="766"/>
    </row>
    <row r="272" spans="1:23" s="120" customFormat="1" ht="18" x14ac:dyDescent="0.25">
      <c r="A272" s="962"/>
      <c r="B272" s="1121"/>
      <c r="C272" s="1122"/>
      <c r="D272" s="1122"/>
      <c r="E272" s="1122"/>
      <c r="F272" s="1122"/>
      <c r="G272" s="1122"/>
      <c r="H272" s="1122"/>
      <c r="I272" s="1122"/>
      <c r="J272" s="1107"/>
      <c r="K272" s="1107"/>
      <c r="L272" s="1107"/>
      <c r="M272" s="1107"/>
      <c r="N272" s="1106"/>
      <c r="O272" s="778"/>
      <c r="P272" s="1101"/>
      <c r="Q272" s="1102"/>
      <c r="R272" s="1096"/>
      <c r="S272" s="787"/>
      <c r="T272" s="787"/>
      <c r="U272" s="777"/>
      <c r="V272" s="777"/>
      <c r="W272" s="766"/>
    </row>
    <row r="273" spans="1:23" s="120" customFormat="1" ht="18" x14ac:dyDescent="0.25">
      <c r="A273" s="962"/>
      <c r="B273" s="1121"/>
      <c r="C273" s="1122"/>
      <c r="D273" s="1122"/>
      <c r="E273" s="1122"/>
      <c r="F273" s="1122"/>
      <c r="G273" s="1122"/>
      <c r="H273" s="1122"/>
      <c r="I273" s="1122"/>
      <c r="J273" s="1107"/>
      <c r="K273" s="1107"/>
      <c r="L273" s="1107"/>
      <c r="M273" s="1107"/>
      <c r="N273" s="1108"/>
      <c r="O273" s="778"/>
      <c r="P273" s="1101"/>
      <c r="Q273" s="1102"/>
      <c r="R273" s="787"/>
      <c r="S273" s="787"/>
      <c r="T273" s="787"/>
      <c r="U273" s="777"/>
      <c r="V273" s="777"/>
      <c r="W273" s="766"/>
    </row>
    <row r="274" spans="1:23" s="120" customFormat="1" ht="18" x14ac:dyDescent="0.25">
      <c r="A274" s="962"/>
      <c r="B274" s="1121"/>
      <c r="C274" s="1122"/>
      <c r="D274" s="1122"/>
      <c r="E274" s="1122"/>
      <c r="F274" s="1122"/>
      <c r="G274" s="1122"/>
      <c r="H274" s="1122"/>
      <c r="I274" s="1122"/>
      <c r="J274" s="1107"/>
      <c r="K274" s="1107"/>
      <c r="L274" s="1107"/>
      <c r="M274" s="1107"/>
      <c r="N274" s="1108"/>
      <c r="O274" s="778"/>
      <c r="P274" s="1101"/>
      <c r="Q274" s="1103"/>
      <c r="R274" s="787"/>
      <c r="S274" s="787"/>
      <c r="T274" s="787"/>
      <c r="U274" s="777"/>
      <c r="V274" s="777"/>
      <c r="W274" s="766"/>
    </row>
    <row r="275" spans="1:23" s="120" customFormat="1" ht="18" x14ac:dyDescent="0.25">
      <c r="A275" s="962"/>
      <c r="B275" s="1121"/>
      <c r="C275" s="1122"/>
      <c r="D275" s="1122"/>
      <c r="E275" s="1122"/>
      <c r="F275" s="1122"/>
      <c r="G275" s="1122"/>
      <c r="H275" s="1122"/>
      <c r="I275" s="1122"/>
      <c r="J275" s="1107"/>
      <c r="K275" s="1107"/>
      <c r="L275" s="1107"/>
      <c r="M275" s="1107"/>
      <c r="N275" s="1108"/>
      <c r="O275" s="778"/>
      <c r="P275" s="1101"/>
      <c r="Q275" s="1102"/>
      <c r="R275" s="1096"/>
      <c r="S275" s="787"/>
      <c r="T275" s="787"/>
      <c r="U275" s="777"/>
      <c r="V275" s="777"/>
      <c r="W275" s="766"/>
    </row>
    <row r="276" spans="1:23" s="138" customFormat="1" ht="12.6" customHeight="1" x14ac:dyDescent="0.25">
      <c r="A276" s="962"/>
      <c r="B276" s="1121"/>
      <c r="C276" s="1122"/>
      <c r="D276" s="1122"/>
      <c r="E276" s="1122"/>
      <c r="F276" s="1122"/>
      <c r="G276" s="1122"/>
      <c r="H276" s="1122"/>
      <c r="I276" s="1122"/>
      <c r="J276" s="1107"/>
      <c r="K276" s="1107"/>
      <c r="L276" s="1107"/>
      <c r="M276" s="1107"/>
      <c r="N276" s="1108"/>
      <c r="O276" s="793"/>
      <c r="P276" s="1101"/>
      <c r="Q276" s="1102"/>
      <c r="R276" s="1096"/>
      <c r="S276" s="787"/>
      <c r="T276" s="787"/>
      <c r="U276" s="787"/>
      <c r="V276" s="787"/>
      <c r="W276" s="767"/>
    </row>
    <row r="277" spans="1:23" s="138" customFormat="1" ht="12.6" customHeight="1" x14ac:dyDescent="0.25">
      <c r="A277" s="962"/>
      <c r="B277" s="1121"/>
      <c r="C277" s="1122"/>
      <c r="D277" s="1122"/>
      <c r="E277" s="1122"/>
      <c r="F277" s="1122"/>
      <c r="G277" s="1122"/>
      <c r="H277" s="1122"/>
      <c r="I277" s="1122"/>
      <c r="J277" s="1107"/>
      <c r="K277" s="1107"/>
      <c r="L277" s="1107"/>
      <c r="M277" s="1107"/>
      <c r="N277" s="1108"/>
      <c r="O277" s="793"/>
      <c r="R277" s="787"/>
      <c r="S277" s="787"/>
      <c r="T277" s="787"/>
      <c r="U277" s="787"/>
      <c r="V277" s="787"/>
      <c r="W277" s="767"/>
    </row>
    <row r="278" spans="1:23" s="138" customFormat="1" ht="12.6" customHeight="1" x14ac:dyDescent="0.25">
      <c r="A278" s="962"/>
      <c r="B278" s="1121"/>
      <c r="C278" s="1122"/>
      <c r="D278" s="1122"/>
      <c r="E278" s="1122"/>
      <c r="F278" s="1122"/>
      <c r="G278" s="1122"/>
      <c r="H278" s="1122"/>
      <c r="I278" s="1122"/>
      <c r="J278" s="1107"/>
      <c r="K278" s="1107"/>
      <c r="L278" s="1107"/>
      <c r="M278" s="1107"/>
      <c r="N278" s="1109"/>
      <c r="O278" s="793"/>
      <c r="P278" s="1101"/>
      <c r="Q278" s="1103"/>
      <c r="R278" s="787"/>
      <c r="S278" s="787"/>
      <c r="T278" s="787"/>
      <c r="U278" s="787"/>
      <c r="V278" s="787"/>
      <c r="W278" s="767"/>
    </row>
    <row r="279" spans="1:23" s="138" customFormat="1" ht="12.6" customHeight="1" x14ac:dyDescent="0.25">
      <c r="A279" s="962"/>
      <c r="B279" s="1122"/>
      <c r="C279" s="1122"/>
      <c r="D279" s="1122"/>
      <c r="E279" s="1122"/>
      <c r="F279" s="1122"/>
      <c r="G279" s="1122"/>
      <c r="H279" s="1122"/>
      <c r="I279" s="1122"/>
      <c r="J279" s="1107"/>
      <c r="K279" s="1107"/>
      <c r="L279" s="1107"/>
      <c r="M279" s="1107"/>
      <c r="N279" s="1109"/>
      <c r="O279" s="793"/>
      <c r="P279" s="1101"/>
      <c r="Q279" s="1102"/>
      <c r="R279" s="1096"/>
      <c r="S279" s="787"/>
      <c r="T279" s="787"/>
      <c r="U279" s="787"/>
      <c r="V279" s="787"/>
      <c r="W279" s="767"/>
    </row>
    <row r="280" spans="1:23" s="138" customFormat="1" ht="12.6" customHeight="1" x14ac:dyDescent="0.25">
      <c r="A280" s="962"/>
      <c r="B280" s="1122"/>
      <c r="C280" s="1122"/>
      <c r="D280" s="1122"/>
      <c r="E280" s="1122"/>
      <c r="F280" s="1122"/>
      <c r="G280" s="1122"/>
      <c r="H280" s="1122"/>
      <c r="I280" s="1122"/>
      <c r="J280" s="1122"/>
      <c r="K280" s="1107"/>
      <c r="L280" s="1107"/>
      <c r="M280" s="1123"/>
      <c r="N280" s="1109"/>
      <c r="O280" s="793"/>
      <c r="P280" s="1101"/>
      <c r="Q280" s="1102"/>
      <c r="R280" s="1096"/>
      <c r="S280" s="787"/>
      <c r="T280" s="787"/>
      <c r="U280" s="787"/>
      <c r="V280" s="787"/>
      <c r="W280" s="767"/>
    </row>
    <row r="281" spans="1:23" s="138" customFormat="1" ht="12.6" customHeight="1" x14ac:dyDescent="0.25">
      <c r="A281" s="962"/>
      <c r="B281" s="1122"/>
      <c r="C281" s="1122"/>
      <c r="D281" s="1122"/>
      <c r="E281" s="1122"/>
      <c r="F281" s="1122"/>
      <c r="G281" s="1122"/>
      <c r="H281" s="1122"/>
      <c r="I281" s="1122"/>
      <c r="J281" s="1120"/>
      <c r="K281" s="1114"/>
      <c r="L281" s="1115"/>
      <c r="M281" s="1115"/>
      <c r="N281" s="1109"/>
      <c r="O281" s="793"/>
      <c r="R281" s="787"/>
      <c r="S281" s="787"/>
      <c r="T281" s="787"/>
      <c r="U281" s="787"/>
      <c r="V281" s="787"/>
      <c r="W281" s="767"/>
    </row>
    <row r="282" spans="1:23" s="138" customFormat="1" ht="12.6" customHeight="1" x14ac:dyDescent="0.25">
      <c r="A282" s="962"/>
      <c r="B282" s="1121"/>
      <c r="C282" s="1122"/>
      <c r="D282" s="1122"/>
      <c r="E282" s="1122"/>
      <c r="F282" s="1122"/>
      <c r="G282" s="1122"/>
      <c r="H282" s="1122"/>
      <c r="I282" s="1122"/>
      <c r="J282" s="1107"/>
      <c r="K282" s="1107"/>
      <c r="L282" s="1107"/>
      <c r="M282" s="1107"/>
      <c r="N282" s="1109"/>
      <c r="O282" s="793"/>
      <c r="P282" s="1101"/>
      <c r="Q282" s="1103"/>
      <c r="R282" s="787"/>
      <c r="S282" s="787"/>
      <c r="T282" s="787"/>
      <c r="U282" s="787"/>
      <c r="V282" s="787"/>
      <c r="W282" s="767"/>
    </row>
    <row r="283" spans="1:23" s="138" customFormat="1" ht="12.6" customHeight="1" x14ac:dyDescent="0.25">
      <c r="A283" s="962"/>
      <c r="B283" s="1122"/>
      <c r="C283" s="1122"/>
      <c r="D283" s="1122"/>
      <c r="E283" s="1122"/>
      <c r="F283" s="1122"/>
      <c r="G283" s="1122"/>
      <c r="H283" s="1122"/>
      <c r="I283" s="1122"/>
      <c r="J283" s="1107"/>
      <c r="K283" s="1107"/>
      <c r="L283" s="1107"/>
      <c r="M283" s="1107"/>
      <c r="N283" s="1109"/>
      <c r="O283" s="793"/>
      <c r="P283" s="1101"/>
      <c r="Q283" s="1102"/>
      <c r="R283" s="1096"/>
      <c r="S283" s="787"/>
      <c r="T283" s="787"/>
      <c r="U283" s="787"/>
      <c r="V283" s="787"/>
      <c r="W283" s="767"/>
    </row>
    <row r="284" spans="1:23" s="138" customFormat="1" ht="12.6" customHeight="1" x14ac:dyDescent="0.25">
      <c r="A284" s="962"/>
      <c r="B284" s="1121"/>
      <c r="C284" s="1122"/>
      <c r="D284" s="1122"/>
      <c r="E284" s="1122"/>
      <c r="F284" s="1122"/>
      <c r="G284" s="1122"/>
      <c r="H284" s="1122"/>
      <c r="I284" s="1122"/>
      <c r="J284" s="1107"/>
      <c r="K284" s="1107"/>
      <c r="L284" s="1107"/>
      <c r="M284" s="1107"/>
      <c r="N284" s="1109"/>
      <c r="O284" s="793"/>
      <c r="P284" s="1101"/>
      <c r="Q284" s="1102"/>
      <c r="R284" s="1096"/>
      <c r="S284" s="787"/>
      <c r="T284" s="787"/>
      <c r="U284" s="787"/>
      <c r="V284" s="787"/>
      <c r="W284" s="767"/>
    </row>
    <row r="285" spans="1:23" s="138" customFormat="1" ht="12.6" customHeight="1" x14ac:dyDescent="0.25">
      <c r="A285" s="962"/>
      <c r="B285" s="786"/>
      <c r="C285" s="786"/>
      <c r="D285" s="786"/>
      <c r="E285" s="786"/>
      <c r="F285" s="786"/>
      <c r="G285" s="786"/>
      <c r="H285" s="786"/>
      <c r="I285" s="786"/>
      <c r="J285" s="786"/>
      <c r="K285" s="801"/>
      <c r="L285" s="787"/>
      <c r="M285" s="787"/>
      <c r="N285" s="793"/>
      <c r="O285" s="793"/>
      <c r="P285" s="787"/>
      <c r="Q285" s="787"/>
      <c r="R285" s="787"/>
      <c r="S285" s="787"/>
      <c r="T285" s="787"/>
      <c r="U285" s="787"/>
      <c r="V285" s="787"/>
      <c r="W285" s="767"/>
    </row>
    <row r="286" spans="1:23" s="120" customFormat="1" x14ac:dyDescent="0.25">
      <c r="A286" s="959"/>
      <c r="B286" s="779"/>
      <c r="C286" s="779"/>
      <c r="D286" s="779"/>
      <c r="E286" s="779"/>
      <c r="F286" s="779"/>
      <c r="G286" s="779"/>
      <c r="H286" s="779"/>
      <c r="I286" s="779"/>
      <c r="J286" s="779"/>
      <c r="K286" s="801"/>
      <c r="L286" s="801"/>
      <c r="M286" s="1099"/>
      <c r="N286" s="1099"/>
      <c r="O286" s="1099"/>
      <c r="P286" s="1101"/>
      <c r="Q286" s="1103"/>
      <c r="R286" s="787"/>
      <c r="S286" s="777"/>
      <c r="T286" s="777"/>
      <c r="U286" s="777"/>
      <c r="V286" s="777"/>
      <c r="W286" s="766"/>
    </row>
    <row r="287" spans="1:23" s="120" customFormat="1" x14ac:dyDescent="0.25">
      <c r="A287" s="959"/>
      <c r="B287" s="779"/>
      <c r="C287" s="779"/>
      <c r="D287" s="779"/>
      <c r="E287" s="779"/>
      <c r="F287" s="779"/>
      <c r="G287" s="779"/>
      <c r="H287" s="779"/>
      <c r="I287" s="779"/>
      <c r="J287" s="779"/>
      <c r="K287" s="801"/>
      <c r="L287" s="787"/>
      <c r="M287" s="1099"/>
      <c r="N287" s="1100"/>
      <c r="O287" s="1099"/>
      <c r="P287" s="1101"/>
      <c r="Q287" s="1102"/>
      <c r="R287" s="1096"/>
      <c r="S287" s="777"/>
      <c r="T287" s="777"/>
      <c r="U287" s="777"/>
      <c r="V287" s="777"/>
      <c r="W287" s="766"/>
    </row>
    <row r="288" spans="1:23" s="120" customFormat="1" x14ac:dyDescent="0.25">
      <c r="A288" s="959"/>
      <c r="B288" s="779"/>
      <c r="C288" s="779"/>
      <c r="D288" s="779"/>
      <c r="E288" s="779"/>
      <c r="F288" s="779"/>
      <c r="G288" s="779"/>
      <c r="H288" s="779"/>
      <c r="I288" s="779"/>
      <c r="J288" s="779"/>
      <c r="K288" s="801"/>
      <c r="L288" s="787"/>
      <c r="M288" s="1099"/>
      <c r="N288" s="1100"/>
      <c r="O288" s="1099"/>
      <c r="P288" s="1101"/>
      <c r="Q288" s="1102"/>
      <c r="R288" s="787"/>
      <c r="S288" s="777"/>
      <c r="T288" s="777"/>
      <c r="U288" s="777"/>
      <c r="V288" s="777"/>
      <c r="W288" s="766"/>
    </row>
    <row r="289" spans="1:23" s="120" customFormat="1" x14ac:dyDescent="0.25">
      <c r="A289" s="959"/>
      <c r="B289" s="779"/>
      <c r="C289" s="779"/>
      <c r="D289" s="779"/>
      <c r="E289" s="779"/>
      <c r="F289" s="779"/>
      <c r="G289" s="779"/>
      <c r="H289" s="779"/>
      <c r="I289" s="779"/>
      <c r="J289" s="779"/>
      <c r="K289" s="801"/>
      <c r="L289" s="801"/>
      <c r="M289" s="787"/>
      <c r="N289" s="793"/>
      <c r="O289" s="793"/>
      <c r="P289" s="787"/>
      <c r="Q289" s="787"/>
      <c r="R289" s="787"/>
      <c r="S289" s="777"/>
      <c r="T289" s="777"/>
      <c r="U289" s="777"/>
      <c r="V289" s="777"/>
      <c r="W289" s="766"/>
    </row>
    <row r="290" spans="1:23" s="120" customFormat="1" x14ac:dyDescent="0.25">
      <c r="A290" s="959"/>
      <c r="B290" s="779"/>
      <c r="C290" s="779"/>
      <c r="D290" s="779"/>
      <c r="E290" s="779"/>
      <c r="F290" s="779"/>
      <c r="G290" s="779"/>
      <c r="H290" s="779"/>
      <c r="I290" s="779"/>
      <c r="J290" s="779"/>
      <c r="K290" s="801"/>
      <c r="L290" s="801"/>
      <c r="M290" s="787"/>
      <c r="N290" s="793"/>
      <c r="O290" s="793"/>
      <c r="P290" s="787"/>
      <c r="Q290" s="787"/>
      <c r="R290" s="787"/>
      <c r="S290" s="777"/>
      <c r="T290" s="777"/>
      <c r="U290" s="777"/>
      <c r="V290" s="777"/>
      <c r="W290" s="766"/>
    </row>
    <row r="291" spans="1:23" s="120" customFormat="1" x14ac:dyDescent="0.25">
      <c r="A291" s="959"/>
      <c r="B291" s="779"/>
      <c r="C291" s="779"/>
      <c r="D291" s="779"/>
      <c r="E291" s="779"/>
      <c r="F291" s="779"/>
      <c r="G291" s="779"/>
      <c r="H291" s="779"/>
      <c r="I291" s="779"/>
      <c r="J291" s="779"/>
      <c r="K291" s="801"/>
      <c r="L291" s="801"/>
      <c r="M291" s="787"/>
      <c r="N291" s="793"/>
      <c r="O291" s="793"/>
      <c r="P291" s="787"/>
      <c r="Q291" s="787"/>
      <c r="R291" s="787"/>
      <c r="S291" s="777"/>
      <c r="T291" s="777"/>
      <c r="U291" s="777"/>
      <c r="V291" s="777"/>
      <c r="W291" s="766"/>
    </row>
    <row r="292" spans="1:23" s="120" customFormat="1" x14ac:dyDescent="0.25">
      <c r="A292" s="959"/>
      <c r="B292" s="779"/>
      <c r="C292" s="779"/>
      <c r="D292" s="779"/>
      <c r="E292" s="779"/>
      <c r="F292" s="779"/>
      <c r="G292" s="779"/>
      <c r="H292" s="779"/>
      <c r="I292" s="779"/>
      <c r="J292" s="779"/>
      <c r="K292" s="801"/>
      <c r="L292" s="801"/>
      <c r="M292" s="787"/>
      <c r="N292" s="793"/>
      <c r="O292" s="793"/>
      <c r="P292" s="787"/>
      <c r="Q292" s="787"/>
      <c r="R292" s="787"/>
      <c r="S292" s="777"/>
      <c r="T292" s="777"/>
      <c r="U292" s="777"/>
      <c r="V292" s="777"/>
      <c r="W292" s="766"/>
    </row>
    <row r="293" spans="1:23" s="120" customFormat="1" ht="15.6" x14ac:dyDescent="0.3">
      <c r="A293" s="959"/>
      <c r="B293" s="794"/>
      <c r="C293" s="794"/>
      <c r="D293" s="794"/>
      <c r="E293" s="794"/>
      <c r="F293" s="794"/>
      <c r="G293" s="794"/>
      <c r="H293" s="794"/>
      <c r="I293" s="794"/>
      <c r="J293" s="794"/>
      <c r="K293" s="1104"/>
      <c r="L293" s="1104"/>
      <c r="M293" s="787"/>
      <c r="N293" s="793"/>
      <c r="O293" s="793"/>
      <c r="P293" s="787"/>
      <c r="Q293" s="787"/>
      <c r="R293" s="787"/>
      <c r="S293" s="777"/>
      <c r="T293" s="777"/>
      <c r="U293" s="777"/>
      <c r="V293" s="777"/>
      <c r="W293" s="766"/>
    </row>
    <row r="294" spans="1:23" s="120" customFormat="1" x14ac:dyDescent="0.25">
      <c r="A294" s="959"/>
      <c r="B294" s="779"/>
      <c r="C294" s="779"/>
      <c r="D294" s="779"/>
      <c r="E294" s="779"/>
      <c r="F294" s="779"/>
      <c r="G294" s="779"/>
      <c r="H294" s="779"/>
      <c r="I294" s="779"/>
      <c r="J294" s="779"/>
      <c r="K294" s="801"/>
      <c r="L294" s="801"/>
      <c r="M294" s="787"/>
      <c r="N294" s="793"/>
      <c r="O294" s="793"/>
      <c r="P294" s="787"/>
      <c r="Q294" s="787"/>
      <c r="R294" s="787"/>
      <c r="S294" s="777"/>
      <c r="T294" s="777"/>
      <c r="U294" s="777"/>
      <c r="V294" s="777"/>
      <c r="W294" s="766"/>
    </row>
    <row r="295" spans="1:23" s="120" customFormat="1" x14ac:dyDescent="0.25">
      <c r="A295" s="959"/>
      <c r="B295" s="779"/>
      <c r="C295" s="779"/>
      <c r="D295" s="779"/>
      <c r="E295" s="779"/>
      <c r="F295" s="779"/>
      <c r="G295" s="779"/>
      <c r="H295" s="779"/>
      <c r="I295" s="779"/>
      <c r="J295" s="779"/>
      <c r="K295" s="799"/>
      <c r="L295" s="799"/>
      <c r="M295" s="777"/>
      <c r="N295" s="778"/>
      <c r="O295" s="778"/>
      <c r="P295" s="777"/>
      <c r="Q295" s="777"/>
      <c r="R295" s="777"/>
      <c r="S295" s="777"/>
      <c r="T295" s="777"/>
      <c r="U295" s="777"/>
      <c r="V295" s="777"/>
      <c r="W295" s="766"/>
    </row>
    <row r="296" spans="1:23" s="120" customFormat="1" x14ac:dyDescent="0.25">
      <c r="A296" s="959"/>
      <c r="B296" s="779"/>
      <c r="C296" s="779"/>
      <c r="D296" s="779"/>
      <c r="E296" s="779"/>
      <c r="F296" s="779"/>
      <c r="G296" s="779"/>
      <c r="H296" s="779"/>
      <c r="I296" s="779"/>
      <c r="J296" s="779"/>
      <c r="K296" s="799"/>
      <c r="L296" s="799"/>
      <c r="M296" s="777"/>
      <c r="N296" s="778"/>
      <c r="O296" s="778"/>
      <c r="P296" s="777"/>
      <c r="Q296" s="777"/>
      <c r="R296" s="777"/>
      <c r="S296" s="777"/>
      <c r="T296" s="777"/>
      <c r="U296" s="777"/>
      <c r="V296" s="777"/>
      <c r="W296" s="766"/>
    </row>
    <row r="297" spans="1:23" s="120" customFormat="1" x14ac:dyDescent="0.25">
      <c r="A297" s="959"/>
      <c r="B297" s="779"/>
      <c r="C297" s="779"/>
      <c r="D297" s="779"/>
      <c r="E297" s="779"/>
      <c r="F297" s="779"/>
      <c r="G297" s="779"/>
      <c r="H297" s="779"/>
      <c r="I297" s="779"/>
      <c r="J297" s="779"/>
      <c r="K297" s="799"/>
      <c r="L297" s="799"/>
      <c r="M297" s="777"/>
      <c r="N297" s="778"/>
      <c r="O297" s="778"/>
      <c r="P297" s="777"/>
      <c r="Q297" s="777"/>
      <c r="R297" s="777"/>
      <c r="S297" s="777"/>
      <c r="T297" s="777"/>
      <c r="U297" s="777"/>
      <c r="V297" s="777"/>
      <c r="W297" s="766"/>
    </row>
    <row r="298" spans="1:23" s="120" customFormat="1" x14ac:dyDescent="0.25">
      <c r="A298" s="959"/>
      <c r="B298" s="779"/>
      <c r="C298" s="779"/>
      <c r="D298" s="779"/>
      <c r="E298" s="779"/>
      <c r="F298" s="779"/>
      <c r="G298" s="779"/>
      <c r="H298" s="779"/>
      <c r="I298" s="779"/>
      <c r="J298" s="779"/>
      <c r="K298" s="799"/>
      <c r="L298" s="799"/>
      <c r="M298" s="777"/>
      <c r="N298" s="778"/>
      <c r="O298" s="778"/>
      <c r="P298" s="777"/>
      <c r="Q298" s="777"/>
      <c r="R298" s="777"/>
      <c r="S298" s="777"/>
      <c r="T298" s="777"/>
      <c r="U298" s="777"/>
      <c r="V298" s="777"/>
      <c r="W298" s="766"/>
    </row>
    <row r="299" spans="1:23" s="120" customFormat="1" x14ac:dyDescent="0.25">
      <c r="A299" s="959"/>
      <c r="B299" s="779"/>
      <c r="C299" s="779"/>
      <c r="D299" s="779"/>
      <c r="E299" s="779"/>
      <c r="F299" s="779"/>
      <c r="G299" s="779"/>
      <c r="H299" s="779"/>
      <c r="I299" s="779"/>
      <c r="J299" s="779"/>
      <c r="K299" s="799"/>
      <c r="L299" s="799"/>
      <c r="M299" s="777"/>
      <c r="N299" s="778"/>
      <c r="O299" s="778"/>
      <c r="P299" s="777"/>
      <c r="Q299" s="777"/>
      <c r="R299" s="777"/>
      <c r="S299" s="777"/>
      <c r="T299" s="777"/>
      <c r="U299" s="777"/>
      <c r="V299" s="777"/>
      <c r="W299" s="766"/>
    </row>
    <row r="300" spans="1:23" s="120" customFormat="1" x14ac:dyDescent="0.25">
      <c r="A300" s="959"/>
      <c r="B300" s="779"/>
      <c r="C300" s="779"/>
      <c r="D300" s="779"/>
      <c r="E300" s="779"/>
      <c r="F300" s="779"/>
      <c r="G300" s="779"/>
      <c r="H300" s="779"/>
      <c r="I300" s="779"/>
      <c r="J300" s="779"/>
      <c r="K300" s="799"/>
      <c r="L300" s="799"/>
      <c r="M300" s="777"/>
      <c r="N300" s="778"/>
      <c r="O300" s="778"/>
      <c r="P300" s="777"/>
      <c r="Q300" s="777"/>
      <c r="R300" s="777"/>
      <c r="S300" s="777"/>
      <c r="T300" s="777"/>
      <c r="U300" s="777"/>
      <c r="V300" s="777"/>
      <c r="W300" s="766"/>
    </row>
    <row r="301" spans="1:23" s="120" customFormat="1" x14ac:dyDescent="0.25">
      <c r="A301" s="959"/>
      <c r="B301" s="779"/>
      <c r="C301" s="779"/>
      <c r="D301" s="779"/>
      <c r="E301" s="779"/>
      <c r="F301" s="779"/>
      <c r="G301" s="779"/>
      <c r="H301" s="779"/>
      <c r="I301" s="779"/>
      <c r="J301" s="779"/>
      <c r="K301" s="799"/>
      <c r="L301" s="799"/>
      <c r="M301" s="777"/>
      <c r="N301" s="778"/>
      <c r="O301" s="778"/>
      <c r="P301" s="777"/>
      <c r="Q301" s="777"/>
      <c r="R301" s="777"/>
      <c r="S301" s="777"/>
      <c r="T301" s="777"/>
      <c r="U301" s="777"/>
      <c r="V301" s="777"/>
      <c r="W301" s="766"/>
    </row>
    <row r="302" spans="1:23" s="120" customFormat="1" x14ac:dyDescent="0.25">
      <c r="A302" s="959"/>
      <c r="B302" s="779"/>
      <c r="C302" s="779"/>
      <c r="D302" s="779"/>
      <c r="E302" s="779"/>
      <c r="F302" s="779"/>
      <c r="G302" s="779"/>
      <c r="H302" s="779"/>
      <c r="I302" s="779"/>
      <c r="J302" s="779"/>
      <c r="K302" s="799"/>
      <c r="L302" s="799"/>
      <c r="M302" s="777"/>
      <c r="N302" s="778"/>
      <c r="O302" s="778"/>
      <c r="P302" s="777"/>
      <c r="Q302" s="777"/>
      <c r="R302" s="777"/>
      <c r="S302" s="777"/>
      <c r="T302" s="777"/>
      <c r="U302" s="777"/>
      <c r="V302" s="777"/>
      <c r="W302" s="766"/>
    </row>
    <row r="303" spans="1:23" s="120" customFormat="1" x14ac:dyDescent="0.25">
      <c r="A303" s="959"/>
      <c r="B303" s="779"/>
      <c r="C303" s="779"/>
      <c r="D303" s="779"/>
      <c r="E303" s="779"/>
      <c r="F303" s="779"/>
      <c r="G303" s="779"/>
      <c r="H303" s="779"/>
      <c r="I303" s="779"/>
      <c r="J303" s="779"/>
      <c r="K303" s="799"/>
      <c r="L303" s="799"/>
      <c r="M303" s="777"/>
      <c r="N303" s="778"/>
      <c r="O303" s="778"/>
      <c r="P303" s="777"/>
      <c r="Q303" s="777"/>
      <c r="R303" s="777"/>
      <c r="S303" s="777"/>
      <c r="T303" s="777"/>
      <c r="U303" s="777"/>
      <c r="V303" s="777"/>
      <c r="W303" s="766"/>
    </row>
    <row r="304" spans="1:23" s="120" customFormat="1" x14ac:dyDescent="0.25">
      <c r="A304" s="959"/>
      <c r="B304" s="779"/>
      <c r="C304" s="779"/>
      <c r="D304" s="779"/>
      <c r="E304" s="779"/>
      <c r="F304" s="779"/>
      <c r="G304" s="779"/>
      <c r="H304" s="779"/>
      <c r="I304" s="779"/>
      <c r="J304" s="779"/>
      <c r="K304" s="799"/>
      <c r="L304" s="799"/>
      <c r="M304" s="777"/>
      <c r="N304" s="778"/>
      <c r="O304" s="778"/>
      <c r="P304" s="777"/>
      <c r="Q304" s="777"/>
      <c r="R304" s="777"/>
      <c r="S304" s="777"/>
      <c r="T304" s="777"/>
      <c r="U304" s="777"/>
      <c r="V304" s="777"/>
      <c r="W304" s="766"/>
    </row>
    <row r="305" spans="1:23" s="120" customFormat="1" x14ac:dyDescent="0.25">
      <c r="A305" s="959"/>
      <c r="B305" s="779"/>
      <c r="C305" s="779"/>
      <c r="D305" s="779"/>
      <c r="E305" s="779"/>
      <c r="F305" s="779"/>
      <c r="G305" s="779"/>
      <c r="H305" s="779"/>
      <c r="I305" s="779"/>
      <c r="J305" s="779"/>
      <c r="K305" s="799"/>
      <c r="L305" s="799"/>
      <c r="M305" s="777"/>
      <c r="N305" s="778"/>
      <c r="O305" s="778"/>
      <c r="P305" s="777"/>
      <c r="Q305" s="777"/>
      <c r="R305" s="777"/>
      <c r="S305" s="777"/>
      <c r="T305" s="777"/>
      <c r="U305" s="777"/>
      <c r="V305" s="777"/>
      <c r="W305" s="766"/>
    </row>
    <row r="306" spans="1:23" s="120" customFormat="1" x14ac:dyDescent="0.25">
      <c r="A306" s="959"/>
      <c r="B306" s="779"/>
      <c r="C306" s="779"/>
      <c r="D306" s="779"/>
      <c r="E306" s="779"/>
      <c r="F306" s="779"/>
      <c r="G306" s="779"/>
      <c r="H306" s="779"/>
      <c r="I306" s="779"/>
      <c r="J306" s="779"/>
      <c r="K306" s="799"/>
      <c r="L306" s="799"/>
      <c r="M306" s="777"/>
      <c r="N306" s="778"/>
      <c r="O306" s="778"/>
      <c r="P306" s="777"/>
      <c r="Q306" s="777"/>
      <c r="R306" s="777"/>
      <c r="S306" s="777"/>
      <c r="T306" s="777"/>
      <c r="U306" s="777"/>
      <c r="V306" s="777"/>
      <c r="W306" s="766"/>
    </row>
    <row r="307" spans="1:23" s="120" customFormat="1" x14ac:dyDescent="0.25">
      <c r="A307" s="959"/>
      <c r="B307" s="779"/>
      <c r="C307" s="779"/>
      <c r="D307" s="779"/>
      <c r="E307" s="779"/>
      <c r="F307" s="779"/>
      <c r="G307" s="779"/>
      <c r="H307" s="779"/>
      <c r="I307" s="779"/>
      <c r="J307" s="779"/>
      <c r="K307" s="799"/>
      <c r="L307" s="799"/>
      <c r="M307" s="777"/>
      <c r="N307" s="778"/>
      <c r="O307" s="778"/>
      <c r="P307" s="777"/>
      <c r="Q307" s="777"/>
      <c r="R307" s="777"/>
      <c r="S307" s="777"/>
      <c r="T307" s="777"/>
      <c r="U307" s="777"/>
      <c r="V307" s="777"/>
      <c r="W307" s="766"/>
    </row>
    <row r="308" spans="1:23" s="120" customFormat="1" x14ac:dyDescent="0.25">
      <c r="A308" s="959"/>
      <c r="B308" s="779"/>
      <c r="C308" s="779"/>
      <c r="D308" s="779"/>
      <c r="E308" s="779"/>
      <c r="F308" s="779"/>
      <c r="G308" s="779"/>
      <c r="H308" s="779"/>
      <c r="I308" s="779"/>
      <c r="J308" s="779"/>
      <c r="K308" s="799"/>
      <c r="L308" s="799"/>
      <c r="M308" s="777"/>
      <c r="N308" s="778"/>
      <c r="O308" s="778"/>
      <c r="P308" s="777"/>
      <c r="Q308" s="777"/>
      <c r="R308" s="777"/>
      <c r="S308" s="777"/>
      <c r="T308" s="777"/>
      <c r="U308" s="777"/>
      <c r="V308" s="777"/>
      <c r="W308" s="766"/>
    </row>
    <row r="309" spans="1:23" s="120" customFormat="1" x14ac:dyDescent="0.25">
      <c r="A309" s="959"/>
      <c r="B309" s="779"/>
      <c r="C309" s="779"/>
      <c r="D309" s="779"/>
      <c r="E309" s="779"/>
      <c r="F309" s="779"/>
      <c r="G309" s="779"/>
      <c r="H309" s="779"/>
      <c r="I309" s="779"/>
      <c r="J309" s="779"/>
      <c r="K309" s="799"/>
      <c r="L309" s="799"/>
      <c r="M309" s="777"/>
      <c r="N309" s="778"/>
      <c r="O309" s="778"/>
      <c r="P309" s="777"/>
      <c r="Q309" s="777"/>
      <c r="R309" s="777"/>
      <c r="S309" s="777"/>
      <c r="T309" s="777"/>
      <c r="U309" s="777"/>
      <c r="V309" s="777"/>
      <c r="W309" s="766"/>
    </row>
    <row r="310" spans="1:23" s="120" customFormat="1" x14ac:dyDescent="0.25">
      <c r="A310" s="959"/>
      <c r="B310" s="779"/>
      <c r="C310" s="779"/>
      <c r="D310" s="779"/>
      <c r="E310" s="779"/>
      <c r="F310" s="779"/>
      <c r="G310" s="779"/>
      <c r="H310" s="779"/>
      <c r="I310" s="779"/>
      <c r="J310" s="779"/>
      <c r="K310" s="799"/>
      <c r="L310" s="799"/>
      <c r="M310" s="777"/>
      <c r="N310" s="778"/>
      <c r="O310" s="778"/>
      <c r="P310" s="777"/>
      <c r="Q310" s="777"/>
      <c r="R310" s="777"/>
      <c r="S310" s="777"/>
      <c r="T310" s="777"/>
      <c r="U310" s="777"/>
      <c r="V310" s="777"/>
      <c r="W310" s="766"/>
    </row>
    <row r="311" spans="1:23" s="120" customFormat="1" x14ac:dyDescent="0.25">
      <c r="A311" s="959"/>
      <c r="B311" s="779"/>
      <c r="C311" s="779"/>
      <c r="D311" s="779"/>
      <c r="E311" s="779"/>
      <c r="F311" s="779"/>
      <c r="G311" s="779"/>
      <c r="H311" s="779"/>
      <c r="I311" s="779"/>
      <c r="J311" s="779"/>
      <c r="K311" s="799"/>
      <c r="L311" s="799"/>
      <c r="M311" s="777"/>
      <c r="N311" s="778"/>
      <c r="O311" s="778"/>
      <c r="P311" s="777"/>
      <c r="Q311" s="777"/>
      <c r="R311" s="777"/>
      <c r="S311" s="777"/>
      <c r="T311" s="777"/>
      <c r="U311" s="777"/>
      <c r="V311" s="777"/>
      <c r="W311" s="766"/>
    </row>
    <row r="312" spans="1:23" s="120" customFormat="1" x14ac:dyDescent="0.25">
      <c r="A312" s="959"/>
      <c r="B312" s="779"/>
      <c r="C312" s="779"/>
      <c r="D312" s="779"/>
      <c r="E312" s="779"/>
      <c r="F312" s="779"/>
      <c r="G312" s="779"/>
      <c r="H312" s="779"/>
      <c r="I312" s="779"/>
      <c r="J312" s="779"/>
      <c r="K312" s="799"/>
      <c r="L312" s="799"/>
      <c r="M312" s="777"/>
      <c r="N312" s="778"/>
      <c r="O312" s="778"/>
      <c r="P312" s="777"/>
      <c r="Q312" s="777"/>
      <c r="R312" s="777"/>
      <c r="S312" s="777"/>
      <c r="T312" s="777"/>
      <c r="U312" s="777"/>
      <c r="V312" s="777"/>
      <c r="W312" s="766"/>
    </row>
    <row r="313" spans="1:23" s="120" customFormat="1" x14ac:dyDescent="0.25">
      <c r="A313" s="959"/>
      <c r="B313" s="779"/>
      <c r="C313" s="779"/>
      <c r="D313" s="779"/>
      <c r="E313" s="779"/>
      <c r="F313" s="779"/>
      <c r="G313" s="779"/>
      <c r="H313" s="779"/>
      <c r="I313" s="779"/>
      <c r="J313" s="779"/>
      <c r="K313" s="799"/>
      <c r="L313" s="799"/>
      <c r="M313" s="777"/>
      <c r="N313" s="778"/>
      <c r="O313" s="778"/>
      <c r="P313" s="777"/>
      <c r="Q313" s="777"/>
      <c r="R313" s="777"/>
      <c r="S313" s="777"/>
      <c r="T313" s="777"/>
      <c r="U313" s="777"/>
      <c r="V313" s="777"/>
      <c r="W313" s="766"/>
    </row>
    <row r="314" spans="1:23" s="120" customFormat="1" x14ac:dyDescent="0.25">
      <c r="A314" s="959"/>
      <c r="B314" s="779"/>
      <c r="C314" s="779"/>
      <c r="D314" s="779"/>
      <c r="E314" s="779"/>
      <c r="F314" s="779"/>
      <c r="G314" s="779"/>
      <c r="H314" s="779"/>
      <c r="I314" s="779"/>
      <c r="J314" s="779"/>
      <c r="K314" s="799"/>
      <c r="L314" s="799"/>
      <c r="M314" s="777"/>
      <c r="N314" s="778"/>
      <c r="O314" s="778"/>
      <c r="P314" s="777"/>
      <c r="Q314" s="777"/>
      <c r="R314" s="777"/>
      <c r="S314" s="777"/>
      <c r="T314" s="777"/>
      <c r="U314" s="777"/>
      <c r="V314" s="777"/>
      <c r="W314" s="766"/>
    </row>
    <row r="315" spans="1:23" s="120" customFormat="1" x14ac:dyDescent="0.25">
      <c r="A315" s="959"/>
      <c r="B315" s="779"/>
      <c r="C315" s="779"/>
      <c r="D315" s="779"/>
      <c r="E315" s="779"/>
      <c r="F315" s="779"/>
      <c r="G315" s="779"/>
      <c r="H315" s="779"/>
      <c r="I315" s="779"/>
      <c r="J315" s="779"/>
      <c r="K315" s="799"/>
      <c r="L315" s="799"/>
      <c r="M315" s="777"/>
      <c r="N315" s="778"/>
      <c r="O315" s="778"/>
      <c r="P315" s="777"/>
      <c r="Q315" s="777"/>
      <c r="R315" s="777"/>
      <c r="S315" s="777"/>
      <c r="T315" s="777"/>
      <c r="U315" s="777"/>
      <c r="V315" s="777"/>
      <c r="W315" s="766"/>
    </row>
    <row r="316" spans="1:23" s="120" customFormat="1" x14ac:dyDescent="0.25">
      <c r="A316" s="959"/>
      <c r="B316" s="779"/>
      <c r="C316" s="779"/>
      <c r="D316" s="779"/>
      <c r="E316" s="779"/>
      <c r="F316" s="779"/>
      <c r="G316" s="779"/>
      <c r="H316" s="779"/>
      <c r="I316" s="779"/>
      <c r="J316" s="779"/>
      <c r="K316" s="799"/>
      <c r="L316" s="799"/>
      <c r="M316" s="777"/>
      <c r="N316" s="778"/>
      <c r="O316" s="778"/>
      <c r="P316" s="777"/>
      <c r="Q316" s="777"/>
      <c r="R316" s="777"/>
      <c r="S316" s="777"/>
      <c r="T316" s="777"/>
      <c r="U316" s="777"/>
      <c r="V316" s="777"/>
      <c r="W316" s="766"/>
    </row>
    <row r="317" spans="1:23" s="120" customFormat="1" x14ac:dyDescent="0.25">
      <c r="A317" s="959"/>
      <c r="B317" s="779"/>
      <c r="C317" s="779"/>
      <c r="D317" s="779"/>
      <c r="E317" s="779"/>
      <c r="F317" s="779"/>
      <c r="G317" s="779"/>
      <c r="H317" s="779"/>
      <c r="I317" s="779"/>
      <c r="J317" s="779"/>
      <c r="K317" s="799"/>
      <c r="L317" s="799"/>
      <c r="M317" s="777"/>
      <c r="N317" s="778"/>
      <c r="O317" s="778"/>
      <c r="P317" s="777"/>
      <c r="Q317" s="777"/>
      <c r="R317" s="777"/>
      <c r="S317" s="777"/>
      <c r="T317" s="777"/>
      <c r="U317" s="777"/>
      <c r="V317" s="777"/>
      <c r="W317" s="766"/>
    </row>
    <row r="318" spans="1:23" s="120" customFormat="1" x14ac:dyDescent="0.25">
      <c r="A318" s="959"/>
      <c r="B318" s="779"/>
      <c r="C318" s="779"/>
      <c r="D318" s="779"/>
      <c r="E318" s="779"/>
      <c r="F318" s="779"/>
      <c r="G318" s="779"/>
      <c r="H318" s="779"/>
      <c r="I318" s="779"/>
      <c r="J318" s="779"/>
      <c r="K318" s="799"/>
      <c r="L318" s="799"/>
      <c r="M318" s="777"/>
      <c r="N318" s="778"/>
      <c r="O318" s="778"/>
      <c r="P318" s="777"/>
      <c r="Q318" s="777"/>
      <c r="R318" s="777"/>
      <c r="S318" s="777"/>
      <c r="T318" s="777"/>
      <c r="U318" s="777"/>
      <c r="V318" s="777"/>
      <c r="W318" s="766"/>
    </row>
    <row r="319" spans="1:23" s="120" customFormat="1" x14ac:dyDescent="0.25">
      <c r="A319" s="959"/>
      <c r="B319" s="779"/>
      <c r="C319" s="779"/>
      <c r="D319" s="779"/>
      <c r="E319" s="779"/>
      <c r="F319" s="779"/>
      <c r="G319" s="779"/>
      <c r="H319" s="779"/>
      <c r="I319" s="779"/>
      <c r="J319" s="779"/>
      <c r="K319" s="799"/>
      <c r="L319" s="799"/>
      <c r="M319" s="777"/>
      <c r="N319" s="778"/>
      <c r="O319" s="778"/>
      <c r="P319" s="777"/>
      <c r="Q319" s="777"/>
      <c r="R319" s="777"/>
      <c r="S319" s="777"/>
      <c r="T319" s="777"/>
      <c r="U319" s="777"/>
      <c r="V319" s="777"/>
      <c r="W319" s="766"/>
    </row>
  </sheetData>
  <mergeCells count="2">
    <mergeCell ref="B262:B263"/>
    <mergeCell ref="J262:L262"/>
  </mergeCells>
  <phoneticPr fontId="0" type="noConversion"/>
  <hyperlinks>
    <hyperlink ref="A37" location="'113 Town Mtg'!Print_Area" display="'113 Town Mtg'!Print_Area" xr:uid="{00000000-0004-0000-0800-000000000000}"/>
    <hyperlink ref="A38" location="'122 Selectboard'!Print_Area" display="'122 Selectboard'!Print_Area" xr:uid="{00000000-0004-0000-0800-000001000000}"/>
    <hyperlink ref="A39" location="'131 Fin Comm'!A1" display="'131 Fin Comm'!A1" xr:uid="{00000000-0004-0000-0800-000002000000}"/>
    <hyperlink ref="A40" location="'132 Reserve Fund'!A1" display="'132 Reserve Fund'!A1" xr:uid="{00000000-0004-0000-0800-000003000000}"/>
    <hyperlink ref="A41" location="'135 Acct'!A1" display="'135 Acct'!A1" xr:uid="{00000000-0004-0000-0800-000004000000}"/>
    <hyperlink ref="A42" location="'141 BOA'!A1" display="'141 BOA'!A1" xr:uid="{00000000-0004-0000-0800-000005000000}"/>
    <hyperlink ref="A43" location="'141 BOA'!A1" display="'141 BOA'!A1" xr:uid="{00000000-0004-0000-0800-000006000000}"/>
    <hyperlink ref="A44" location="'145 Treas'!A1" display="'145 Treas'!A1" xr:uid="{00000000-0004-0000-0800-000007000000}"/>
    <hyperlink ref="A45" location="'151 Counsel'!A1" display="'151 Counsel'!A1" xr:uid="{00000000-0004-0000-0800-000008000000}"/>
    <hyperlink ref="A46" location="'155 IT'!A1" display="'155 IT'!A1" xr:uid="{00000000-0004-0000-0800-000009000000}"/>
    <hyperlink ref="A47" location="'159 Shared Costs'!A1" display="'159 Shared Costs'!A1" xr:uid="{00000000-0004-0000-0800-00000A000000}"/>
    <hyperlink ref="A48" location="'161 Clerk'!A1" display="'161 Clerk'!A1" xr:uid="{00000000-0004-0000-0800-00000B000000}"/>
    <hyperlink ref="A49" location="'175 Planning'!A1" display="'175 Planning'!A1" xr:uid="{00000000-0004-0000-0800-00000C000000}"/>
    <hyperlink ref="A50" location="'176 ZBA'!A1" display="'176 ZBA'!A1" xr:uid="{00000000-0004-0000-0800-00000D000000}"/>
    <hyperlink ref="A51" location="'182 MEDIC'!A1" display="'182 MEDIC'!A1" xr:uid="{00000000-0004-0000-0800-00000E000000}"/>
    <hyperlink ref="A52" location="'190 Publ Bldg Utilities'!A1" display="'190 Publ Bldg Utilities'!A1" xr:uid="{00000000-0004-0000-0800-00000F000000}"/>
    <hyperlink ref="A57" location="'Working Budget with funding det'!A1" display="'Working Budget with funding det'!A1" xr:uid="{00000000-0004-0000-0800-000010000000}"/>
    <hyperlink ref="A58" location="'211 Police'!A1" display="'211 Police'!A1" xr:uid="{00000000-0004-0000-0800-000011000000}"/>
    <hyperlink ref="A59" location="'Working Budget with funding det'!A1" display="'Working Budget with funding det'!A1" xr:uid="{00000000-0004-0000-0800-000012000000}"/>
    <hyperlink ref="A60" location="'241 Bldg'!A1" display="'241 Bldg'!A1" xr:uid="{00000000-0004-0000-0800-000013000000}"/>
    <hyperlink ref="A61" location="'Working Budget with funding det'!A1" display="'Working Budget with funding det'!A1" xr:uid="{00000000-0004-0000-0800-000014000000}"/>
    <hyperlink ref="A62" location="'291 Emergency'!A1" display="'291 Emergency'!A1" xr:uid="{00000000-0004-0000-0800-000015000000}"/>
    <hyperlink ref="A63" location="'292 Animal'!A1" display="'292 Animal'!A1" xr:uid="{00000000-0004-0000-0800-000016000000}"/>
    <hyperlink ref="A65" location="'294 Forest Warden'!A1" display="'294 Forest Warden'!A1" xr:uid="{00000000-0004-0000-0800-000017000000}"/>
    <hyperlink ref="A66" location="'299 Tree Warden'!A1" display="'299 Tree Warden'!A1" xr:uid="{00000000-0004-0000-0800-000018000000}"/>
    <hyperlink ref="A71" location="'420 DPW'!A1" display="'420 DPW'!A1" xr:uid="{00000000-0004-0000-0800-000019000000}"/>
    <hyperlink ref="A73" location="'423 Snow'!A1" display="'423 Snow'!A1" xr:uid="{00000000-0004-0000-0800-00001A000000}"/>
    <hyperlink ref="A74" location="'433 Solid Waste'!A1" display="'433 Solid Waste'!A1" xr:uid="{00000000-0004-0000-0800-00001B000000}"/>
    <hyperlink ref="A76" location="'491 Cemetery'!A1" display="'491 Cemetery'!A1" xr:uid="{00000000-0004-0000-0800-00001C000000}"/>
    <hyperlink ref="A82" location="'511 BOH'!A1" display="'511 BOH'!A1" xr:uid="{00000000-0004-0000-0800-00001D000000}"/>
    <hyperlink ref="A83" location="'541 COA'!A1" display="'541 COA'!A1" xr:uid="{00000000-0004-0000-0800-00001E000000}"/>
    <hyperlink ref="A84" location="'543 Vets'!Print_Area" display="'543 Vets'!Print_Area" xr:uid="{00000000-0004-0000-0800-00001F000000}"/>
    <hyperlink ref="A89" location="'610 Library'!A1" display="'610 Library'!A1" xr:uid="{00000000-0004-0000-0800-000020000000}"/>
    <hyperlink ref="A90" location="'630 Recreation'!A1" display="'630 Recreation'!A1" xr:uid="{00000000-0004-0000-0800-000021000000}"/>
    <hyperlink ref="A91" location="'691 Historical Comm'!A1" display="'691 Historical Comm'!A1" xr:uid="{00000000-0004-0000-0800-000022000000}"/>
    <hyperlink ref="A92" location="'693 Memorials'!A1" display="'693 Memorials'!A1" xr:uid="{00000000-0004-0000-0800-000023000000}"/>
    <hyperlink ref="A97" location="'700 Debt '!A1" display="'700 Debt '!A1" xr:uid="{00000000-0004-0000-0800-000024000000}"/>
    <hyperlink ref="A100" location="'840 Intergovt'!A1" display="'840 Intergovt'!A1" xr:uid="{00000000-0004-0000-0800-000025000000}"/>
    <hyperlink ref="A103" location="'910 Benefits'!A1" display="'910 Benefits'!A1" xr:uid="{00000000-0004-0000-0800-000026000000}"/>
    <hyperlink ref="A104" location="'946 Insurance'!A1" display="'946 Insurance'!A1" xr:uid="{00000000-0004-0000-0800-000027000000}"/>
    <hyperlink ref="A111" location="'661 440 WPCF'!A1" display="'661 440 WPCF'!A1" xr:uid="{00000000-0004-0000-0800-000028000000}"/>
    <hyperlink ref="A113" location="'661 449 Hwy'!A1" display="'661 449 Hwy'!A1" xr:uid="{00000000-0004-0000-0800-000029000000}"/>
    <hyperlink ref="A115" location="'661 910 Benefits'!A1" display="'661 910 Benefits'!A1" xr:uid="{00000000-0004-0000-0800-00002A000000}"/>
    <hyperlink ref="A120" location="'600 482 Airport'!A1" display="'600 482 Airport'!A1" xr:uid="{00000000-0004-0000-0800-00002B000000}"/>
    <hyperlink ref="A126" location="'300 Schools'!A1" display="'300 Schools'!A1" xr:uid="{00000000-0004-0000-0800-00002C000000}"/>
    <hyperlink ref="B5" location="'Revenue Projections Detail'!A1" display="SOURCES" xr:uid="{00000000-0004-0000-0800-00002D000000}"/>
    <hyperlink ref="A1" location="'Table of Contents'!A1" display="TOC" xr:uid="{00000000-0004-0000-0800-00002E000000}"/>
    <hyperlink ref="A75" location="'480 Charging Stations'!A1" display="'480 Charging Stations'!A1" xr:uid="{00000000-0004-0000-0800-00002F000000}"/>
  </hyperlinks>
  <pageMargins left="0.7" right="0.7" top="0.75" bottom="0.75" header="0.3" footer="0.3"/>
  <pageSetup scale="70" fitToHeight="0" orientation="portrait" r:id="rId1"/>
  <headerFooter alignWithMargins="0">
    <oddFooter>&amp;L&amp;D  &amp;T&amp;C&amp;F&amp;R&amp;A  &amp;P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92D050"/>
  </sheetPr>
  <dimension ref="A1:K35"/>
  <sheetViews>
    <sheetView workbookViewId="0">
      <selection activeCell="C1" sqref="C1"/>
    </sheetView>
  </sheetViews>
  <sheetFormatPr defaultRowHeight="13.2" x14ac:dyDescent="0.25"/>
  <cols>
    <col min="2" max="2" width="11.33203125" customWidth="1"/>
    <col min="3" max="3" width="11.6640625" customWidth="1"/>
    <col min="5" max="5" width="9.44140625" bestFit="1" customWidth="1"/>
    <col min="7" max="7" width="11.109375" customWidth="1"/>
    <col min="9" max="9" width="11.33203125" customWidth="1"/>
  </cols>
  <sheetData>
    <row r="1" spans="1:9" ht="13.8" thickBot="1" x14ac:dyDescent="0.3">
      <c r="A1" t="s">
        <v>91</v>
      </c>
      <c r="D1" s="371" t="s">
        <v>1348</v>
      </c>
    </row>
    <row r="2" spans="1:9" x14ac:dyDescent="0.25">
      <c r="A2" s="192"/>
      <c r="B2" s="354" t="s">
        <v>1822</v>
      </c>
      <c r="C2" s="193"/>
      <c r="D2" s="194"/>
      <c r="E2" s="171"/>
    </row>
    <row r="3" spans="1:9" x14ac:dyDescent="0.25">
      <c r="A3" s="195"/>
      <c r="B3" s="94"/>
      <c r="C3" s="94" t="s">
        <v>473</v>
      </c>
      <c r="D3" s="196">
        <v>0.1</v>
      </c>
      <c r="I3" s="189"/>
    </row>
    <row r="4" spans="1:9" x14ac:dyDescent="0.25">
      <c r="A4" s="195"/>
      <c r="B4" s="94" t="s">
        <v>1440</v>
      </c>
      <c r="C4" s="54">
        <f>+'135 Acct'!O27</f>
        <v>88600</v>
      </c>
      <c r="D4" s="197">
        <f t="shared" ref="D4:D10" si="0">ROUND((+$D$3*C4),0)</f>
        <v>8860</v>
      </c>
      <c r="H4" s="2"/>
      <c r="I4" s="190"/>
    </row>
    <row r="5" spans="1:9" x14ac:dyDescent="0.25">
      <c r="A5" s="195"/>
      <c r="B5" s="94" t="s">
        <v>1441</v>
      </c>
      <c r="C5" s="54">
        <f>+'145 Treas'!O33</f>
        <v>215888</v>
      </c>
      <c r="D5" s="197">
        <f t="shared" si="0"/>
        <v>21589</v>
      </c>
      <c r="H5" s="2"/>
      <c r="I5" s="190"/>
    </row>
    <row r="6" spans="1:9" x14ac:dyDescent="0.25">
      <c r="A6" s="195"/>
      <c r="B6" s="94" t="s">
        <v>92</v>
      </c>
      <c r="C6" s="54">
        <f>+'159 Shared Costs'!O10</f>
        <v>34000</v>
      </c>
      <c r="D6" s="197">
        <f t="shared" si="0"/>
        <v>3400</v>
      </c>
      <c r="H6" s="2"/>
      <c r="I6" s="190"/>
    </row>
    <row r="7" spans="1:9" x14ac:dyDescent="0.25">
      <c r="A7" s="195"/>
      <c r="B7" s="138" t="s">
        <v>1480</v>
      </c>
      <c r="C7" s="54">
        <f>+'155 IT'!O10</f>
        <v>0</v>
      </c>
      <c r="D7" s="197">
        <f t="shared" si="0"/>
        <v>0</v>
      </c>
      <c r="H7" s="2"/>
      <c r="I7" s="190"/>
    </row>
    <row r="8" spans="1:9" x14ac:dyDescent="0.25">
      <c r="A8" s="195"/>
      <c r="B8" s="138" t="s">
        <v>948</v>
      </c>
      <c r="C8" s="54">
        <f>+'155 IT'!O13</f>
        <v>33100</v>
      </c>
      <c r="D8" s="197">
        <f t="shared" si="0"/>
        <v>3310</v>
      </c>
      <c r="H8" s="2"/>
      <c r="I8" s="190"/>
    </row>
    <row r="9" spans="1:9" x14ac:dyDescent="0.25">
      <c r="A9" s="195" t="s">
        <v>94</v>
      </c>
      <c r="B9" s="94" t="s">
        <v>267</v>
      </c>
      <c r="C9" s="54">
        <f>SUM('122 Selectboard'!O10:O12)</f>
        <v>6635</v>
      </c>
      <c r="D9" s="197">
        <f t="shared" si="0"/>
        <v>664</v>
      </c>
      <c r="H9" s="2"/>
      <c r="I9" s="190"/>
    </row>
    <row r="10" spans="1:9" x14ac:dyDescent="0.25">
      <c r="A10" s="195" t="s">
        <v>95</v>
      </c>
      <c r="B10" s="94" t="s">
        <v>93</v>
      </c>
      <c r="C10" s="54">
        <f>+'122 Selectboard'!N42</f>
        <v>117673</v>
      </c>
      <c r="D10" s="197">
        <f t="shared" si="0"/>
        <v>11767</v>
      </c>
      <c r="H10" s="2"/>
      <c r="I10" s="190"/>
    </row>
    <row r="11" spans="1:9" x14ac:dyDescent="0.25">
      <c r="A11" s="195"/>
      <c r="B11" s="94"/>
      <c r="C11" s="94"/>
      <c r="D11" s="197"/>
    </row>
    <row r="12" spans="1:9" x14ac:dyDescent="0.25">
      <c r="A12" s="195"/>
      <c r="B12" s="94" t="s">
        <v>439</v>
      </c>
      <c r="C12" s="94"/>
      <c r="D12" s="197">
        <f>SUM(D4:D10)</f>
        <v>49590</v>
      </c>
      <c r="I12" s="190"/>
    </row>
    <row r="13" spans="1:9" x14ac:dyDescent="0.25">
      <c r="A13" s="195"/>
      <c r="B13" s="94"/>
      <c r="C13" s="94"/>
      <c r="D13" s="197"/>
    </row>
    <row r="14" spans="1:9" x14ac:dyDescent="0.25">
      <c r="A14" s="195"/>
      <c r="B14" s="94"/>
      <c r="C14" s="94"/>
      <c r="D14" s="197"/>
    </row>
    <row r="15" spans="1:9" x14ac:dyDescent="0.25">
      <c r="A15" s="195"/>
      <c r="B15" s="94"/>
      <c r="C15" s="94"/>
      <c r="D15" s="197"/>
    </row>
    <row r="16" spans="1:9" x14ac:dyDescent="0.25">
      <c r="A16" s="195"/>
      <c r="B16" s="94"/>
      <c r="C16" s="94"/>
      <c r="D16" s="198"/>
    </row>
    <row r="17" spans="1:11" ht="13.8" thickBot="1" x14ac:dyDescent="0.3">
      <c r="A17" s="199"/>
      <c r="B17" s="200"/>
      <c r="C17" s="200"/>
      <c r="D17" s="201"/>
    </row>
    <row r="20" spans="1:11" ht="13.8" thickBot="1" x14ac:dyDescent="0.3">
      <c r="A20" s="240" t="s">
        <v>1466</v>
      </c>
      <c r="D20" s="371"/>
    </row>
    <row r="21" spans="1:11" x14ac:dyDescent="0.25">
      <c r="A21" s="192"/>
      <c r="B21" s="354" t="s">
        <v>1822</v>
      </c>
      <c r="C21" s="193"/>
      <c r="D21" s="194"/>
      <c r="F21" s="240" t="s">
        <v>909</v>
      </c>
      <c r="G21" s="240" t="s">
        <v>1073</v>
      </c>
      <c r="H21" s="240" t="s">
        <v>686</v>
      </c>
      <c r="I21" s="342" t="s">
        <v>1467</v>
      </c>
    </row>
    <row r="22" spans="1:11" x14ac:dyDescent="0.25">
      <c r="A22" s="195"/>
      <c r="B22" s="94"/>
      <c r="C22" s="94" t="s">
        <v>473</v>
      </c>
      <c r="D22" s="196">
        <v>7.4999999999999997E-3</v>
      </c>
      <c r="I22" s="240" t="s">
        <v>1550</v>
      </c>
    </row>
    <row r="23" spans="1:11" x14ac:dyDescent="0.25">
      <c r="A23" s="195"/>
      <c r="B23" s="94" t="s">
        <v>1440</v>
      </c>
      <c r="C23" s="54">
        <f>+C4</f>
        <v>88600</v>
      </c>
      <c r="D23" s="197">
        <f>ROUND((+$D$22*C23),0)</f>
        <v>665</v>
      </c>
      <c r="F23" s="240" t="s">
        <v>554</v>
      </c>
      <c r="G23">
        <f>+'Working Budget with funding det'!M108</f>
        <v>11176944</v>
      </c>
      <c r="H23" s="369">
        <f>ROUND((+G23/$G$26),4)</f>
        <v>0.77800000000000002</v>
      </c>
      <c r="I23" s="2">
        <f>+'Working Budget with funding det'!M108-'Working Budget with funding det'!M97-'Working Budget with funding det'!M103</f>
        <v>7623475</v>
      </c>
      <c r="J23" s="369">
        <f>ROUND((+I23/$I$26),4)</f>
        <v>0.77690000000000003</v>
      </c>
    </row>
    <row r="24" spans="1:11" x14ac:dyDescent="0.25">
      <c r="A24" s="195"/>
      <c r="B24" s="94" t="s">
        <v>1441</v>
      </c>
      <c r="C24" s="54">
        <f>+C5</f>
        <v>215888</v>
      </c>
      <c r="D24" s="197">
        <f t="shared" ref="D24:D28" si="1">ROUND((+$D$22*C24),0)</f>
        <v>1619</v>
      </c>
      <c r="F24" s="240" t="s">
        <v>270</v>
      </c>
      <c r="G24">
        <f>+'Working Budget with funding det'!M117</f>
        <v>2872377</v>
      </c>
      <c r="H24" s="369">
        <f>ROUND((+G24/$G$26),4)</f>
        <v>0.2</v>
      </c>
      <c r="I24" s="2">
        <f>+'Working Budget with funding det'!M111+'Working Budget with funding det'!M113+'Working Budget with funding det'!M112</f>
        <v>2007955</v>
      </c>
      <c r="J24" s="369">
        <f t="shared" ref="J24:J25" si="2">ROUND((+I24/$I$26),4)</f>
        <v>0.2046</v>
      </c>
      <c r="K24" s="369">
        <f>ROUND((+J24/2),4)</f>
        <v>0.1023</v>
      </c>
    </row>
    <row r="25" spans="1:11" x14ac:dyDescent="0.25">
      <c r="A25" s="195"/>
      <c r="B25" s="94" t="s">
        <v>92</v>
      </c>
      <c r="C25" s="54">
        <f>+C6</f>
        <v>34000</v>
      </c>
      <c r="D25" s="197">
        <f t="shared" si="1"/>
        <v>255</v>
      </c>
      <c r="F25" s="240" t="s">
        <v>710</v>
      </c>
      <c r="G25" s="2">
        <f>+'Working Budget with funding det'!M124</f>
        <v>316015</v>
      </c>
      <c r="H25" s="369">
        <f>ROUND((+G25/$G$26),4)</f>
        <v>2.1999999999999999E-2</v>
      </c>
      <c r="I25" s="2">
        <f>+'Working Budget with funding det'!M120</f>
        <v>181794</v>
      </c>
      <c r="J25" s="369">
        <f t="shared" si="2"/>
        <v>1.8499999999999999E-2</v>
      </c>
      <c r="K25" s="369">
        <f>ROUND((+J25/2),4)</f>
        <v>9.2999999999999992E-3</v>
      </c>
    </row>
    <row r="26" spans="1:11" x14ac:dyDescent="0.25">
      <c r="A26" s="195"/>
      <c r="B26" s="138" t="s">
        <v>948</v>
      </c>
      <c r="C26" s="54">
        <f t="shared" ref="C26:C28" si="3">+C8</f>
        <v>33100</v>
      </c>
      <c r="D26" s="197">
        <f t="shared" si="1"/>
        <v>248</v>
      </c>
      <c r="F26" s="240" t="s">
        <v>439</v>
      </c>
      <c r="G26">
        <f>SUM(G23:G25)</f>
        <v>14365336</v>
      </c>
      <c r="I26" s="2">
        <f>SUM(I23:I25)</f>
        <v>9813224</v>
      </c>
    </row>
    <row r="27" spans="1:11" x14ac:dyDescent="0.25">
      <c r="A27" s="195" t="s">
        <v>94</v>
      </c>
      <c r="B27" s="94" t="s">
        <v>267</v>
      </c>
      <c r="C27" s="54">
        <f t="shared" si="3"/>
        <v>6635</v>
      </c>
      <c r="D27" s="197">
        <f t="shared" si="1"/>
        <v>50</v>
      </c>
    </row>
    <row r="28" spans="1:11" x14ac:dyDescent="0.25">
      <c r="A28" s="195" t="s">
        <v>95</v>
      </c>
      <c r="B28" s="94" t="s">
        <v>93</v>
      </c>
      <c r="C28" s="54">
        <f t="shared" si="3"/>
        <v>117673</v>
      </c>
      <c r="D28" s="197">
        <f t="shared" si="1"/>
        <v>883</v>
      </c>
    </row>
    <row r="29" spans="1:11" x14ac:dyDescent="0.25">
      <c r="A29" s="195"/>
      <c r="B29" s="94"/>
      <c r="C29" s="94"/>
      <c r="D29" s="197"/>
    </row>
    <row r="30" spans="1:11" x14ac:dyDescent="0.25">
      <c r="A30" s="195"/>
      <c r="B30" s="94" t="s">
        <v>439</v>
      </c>
      <c r="C30" s="94"/>
      <c r="D30" s="197">
        <f>SUM(D23:D28)</f>
        <v>3720</v>
      </c>
    </row>
    <row r="31" spans="1:11" x14ac:dyDescent="0.25">
      <c r="A31" s="195"/>
      <c r="B31" s="94"/>
      <c r="C31" s="94"/>
      <c r="D31" s="197"/>
    </row>
    <row r="32" spans="1:11" x14ac:dyDescent="0.25">
      <c r="A32" s="195"/>
      <c r="B32" s="94"/>
      <c r="C32" s="94"/>
      <c r="D32" s="197"/>
    </row>
    <row r="33" spans="1:4" x14ac:dyDescent="0.25">
      <c r="A33" s="195"/>
      <c r="B33" s="94"/>
      <c r="C33" s="94"/>
      <c r="D33" s="197"/>
    </row>
    <row r="34" spans="1:4" x14ac:dyDescent="0.25">
      <c r="A34" s="195"/>
      <c r="B34" s="94"/>
      <c r="C34" s="94"/>
      <c r="D34" s="198"/>
    </row>
    <row r="35" spans="1:4" ht="13.8" thickBot="1" x14ac:dyDescent="0.3">
      <c r="A35" s="199"/>
      <c r="B35" s="200"/>
      <c r="C35" s="200"/>
      <c r="D35" s="201"/>
    </row>
  </sheetData>
  <phoneticPr fontId="0" type="noConversion"/>
  <hyperlinks>
    <hyperlink ref="D1" location="'Table of Contents'!A1" display="TOC" xr:uid="{00000000-0004-0000-3E00-000000000000}"/>
  </hyperlinks>
  <pageMargins left="0.75" right="0.75" top="1" bottom="1" header="0.5" footer="0.5"/>
  <pageSetup orientation="portrait" r:id="rId1"/>
  <headerFooter alignWithMargins="0">
    <oddFooter xml:space="preserve">&amp;L&amp;D  &amp;T&amp;C&amp;F&amp;R&amp;A </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92D050"/>
    <pageSetUpPr fitToPage="1"/>
  </sheetPr>
  <dimension ref="A1:K35"/>
  <sheetViews>
    <sheetView topLeftCell="A5" workbookViewId="0">
      <selection activeCell="I29" sqref="I29"/>
    </sheetView>
  </sheetViews>
  <sheetFormatPr defaultRowHeight="13.2" x14ac:dyDescent="0.25"/>
  <cols>
    <col min="1" max="1" width="10.44140625" bestFit="1" customWidth="1"/>
    <col min="2" max="2" width="33.6640625" customWidth="1"/>
    <col min="3" max="3" width="13.33203125" customWidth="1"/>
    <col min="5" max="5" width="17.44140625" customWidth="1"/>
    <col min="6" max="6" width="15.77734375" customWidth="1"/>
    <col min="7" max="7" width="20.6640625" customWidth="1"/>
    <col min="8" max="8" width="12.109375" bestFit="1" customWidth="1"/>
    <col min="9" max="9" width="18.6640625" customWidth="1"/>
    <col min="10" max="10" width="14.109375" customWidth="1"/>
    <col min="11" max="11" width="9.44140625" bestFit="1" customWidth="1"/>
  </cols>
  <sheetData>
    <row r="1" spans="1:11" x14ac:dyDescent="0.25">
      <c r="A1" s="371" t="s">
        <v>1348</v>
      </c>
      <c r="B1" t="s">
        <v>109</v>
      </c>
      <c r="E1" t="s">
        <v>614</v>
      </c>
    </row>
    <row r="3" spans="1:11" x14ac:dyDescent="0.25">
      <c r="A3" s="70" t="s">
        <v>610</v>
      </c>
      <c r="B3" s="70" t="s">
        <v>110</v>
      </c>
      <c r="C3" s="70" t="s">
        <v>111</v>
      </c>
      <c r="D3" s="70" t="s">
        <v>112</v>
      </c>
      <c r="E3" s="355" t="s">
        <v>1605</v>
      </c>
      <c r="F3" s="355" t="s">
        <v>1607</v>
      </c>
      <c r="G3" s="355" t="s">
        <v>1604</v>
      </c>
      <c r="H3" s="70" t="s">
        <v>114</v>
      </c>
      <c r="I3" s="355" t="s">
        <v>1606</v>
      </c>
    </row>
    <row r="4" spans="1:11" x14ac:dyDescent="0.25">
      <c r="A4" s="71" t="s">
        <v>581</v>
      </c>
      <c r="B4" s="71"/>
      <c r="C4" s="71"/>
      <c r="D4" s="71"/>
      <c r="E4" s="71" t="s">
        <v>330</v>
      </c>
      <c r="F4" s="71" t="s">
        <v>113</v>
      </c>
      <c r="G4" s="71" t="s">
        <v>330</v>
      </c>
      <c r="H4" s="71" t="s">
        <v>548</v>
      </c>
      <c r="I4" s="71" t="s">
        <v>330</v>
      </c>
    </row>
    <row r="5" spans="1:11" x14ac:dyDescent="0.25">
      <c r="A5" s="74">
        <v>30453</v>
      </c>
      <c r="B5" s="73" t="s">
        <v>611</v>
      </c>
      <c r="C5" s="74">
        <v>36404</v>
      </c>
      <c r="D5" s="73" t="s">
        <v>438</v>
      </c>
      <c r="E5" s="283"/>
      <c r="F5" s="283"/>
      <c r="G5" s="283"/>
      <c r="H5" s="75"/>
      <c r="I5" s="75">
        <f>+G5-H5</f>
        <v>0</v>
      </c>
    </row>
    <row r="6" spans="1:11" x14ac:dyDescent="0.25">
      <c r="A6" s="73"/>
      <c r="B6" s="73"/>
      <c r="C6" s="74"/>
      <c r="D6" s="73"/>
      <c r="E6" s="283"/>
      <c r="F6" s="283"/>
      <c r="G6" s="283"/>
      <c r="H6" s="75"/>
      <c r="I6" s="75"/>
    </row>
    <row r="7" spans="1:11" x14ac:dyDescent="0.25">
      <c r="A7" s="74">
        <v>36913</v>
      </c>
      <c r="B7" s="73" t="s">
        <v>612</v>
      </c>
      <c r="C7" s="74">
        <v>38913</v>
      </c>
      <c r="D7" s="73" t="s">
        <v>438</v>
      </c>
      <c r="E7" s="428">
        <v>115471</v>
      </c>
      <c r="F7" s="283"/>
      <c r="G7" s="428">
        <v>114333</v>
      </c>
      <c r="H7" s="75"/>
      <c r="I7" s="75">
        <f t="shared" ref="I7:I22" si="0">+G7-H7</f>
        <v>114333</v>
      </c>
      <c r="J7" s="68" t="s">
        <v>1473</v>
      </c>
      <c r="K7" s="68"/>
    </row>
    <row r="8" spans="1:11" x14ac:dyDescent="0.25">
      <c r="A8" s="74"/>
      <c r="B8" s="417" t="s">
        <v>1061</v>
      </c>
      <c r="C8" s="74"/>
      <c r="D8" s="73"/>
      <c r="E8" s="428">
        <v>61638</v>
      </c>
      <c r="F8" s="283"/>
      <c r="G8" s="428"/>
      <c r="H8" s="75"/>
      <c r="I8" s="75">
        <f t="shared" si="0"/>
        <v>0</v>
      </c>
      <c r="J8" s="68" t="s">
        <v>1472</v>
      </c>
      <c r="K8" s="68"/>
    </row>
    <row r="9" spans="1:11" x14ac:dyDescent="0.25">
      <c r="A9" s="73"/>
      <c r="B9" s="73"/>
      <c r="C9" s="74"/>
      <c r="D9" s="73"/>
      <c r="E9" s="283"/>
      <c r="F9" s="283"/>
      <c r="G9" s="283"/>
      <c r="H9" s="75"/>
      <c r="I9" s="75"/>
      <c r="J9" s="68"/>
      <c r="K9" s="68"/>
    </row>
    <row r="10" spans="1:11" x14ac:dyDescent="0.25">
      <c r="A10" s="74">
        <v>38565</v>
      </c>
      <c r="B10" s="73" t="s">
        <v>401</v>
      </c>
      <c r="C10" s="74">
        <v>39065</v>
      </c>
      <c r="D10" s="73" t="s">
        <v>438</v>
      </c>
      <c r="E10" s="283">
        <v>23273</v>
      </c>
      <c r="F10" s="283"/>
      <c r="G10" s="540">
        <f>+'700 Debt '!O13+'700 Debt '!O37</f>
        <v>23272</v>
      </c>
      <c r="H10" s="75"/>
      <c r="I10" s="75">
        <f t="shared" si="0"/>
        <v>23272</v>
      </c>
    </row>
    <row r="11" spans="1:11" x14ac:dyDescent="0.25">
      <c r="A11" s="74">
        <v>38565</v>
      </c>
      <c r="B11" s="73" t="s">
        <v>398</v>
      </c>
      <c r="C11" s="74">
        <v>39434</v>
      </c>
      <c r="D11" s="73" t="s">
        <v>438</v>
      </c>
      <c r="E11" s="283">
        <v>35874</v>
      </c>
      <c r="F11" s="283"/>
      <c r="G11" s="540">
        <f>+'700 Debt '!O14+'700 Debt '!O39</f>
        <v>35875</v>
      </c>
      <c r="H11" s="75"/>
      <c r="I11" s="75">
        <f t="shared" si="0"/>
        <v>35875</v>
      </c>
    </row>
    <row r="12" spans="1:11" x14ac:dyDescent="0.25">
      <c r="A12" s="74">
        <v>38565</v>
      </c>
      <c r="B12" s="73" t="s">
        <v>399</v>
      </c>
      <c r="C12" s="74">
        <v>39402</v>
      </c>
      <c r="D12" s="73" t="s">
        <v>438</v>
      </c>
      <c r="E12" s="283">
        <v>18103</v>
      </c>
      <c r="F12" s="283"/>
      <c r="G12" s="540">
        <f>+'700 Debt '!O15+'700 Debt '!O41</f>
        <v>17703</v>
      </c>
      <c r="H12" s="75"/>
      <c r="I12" s="75">
        <f t="shared" si="0"/>
        <v>17703</v>
      </c>
    </row>
    <row r="13" spans="1:11" x14ac:dyDescent="0.25">
      <c r="A13" s="74">
        <v>38565</v>
      </c>
      <c r="B13" s="73" t="s">
        <v>400</v>
      </c>
      <c r="C13" s="74">
        <v>39835</v>
      </c>
      <c r="D13" s="73" t="s">
        <v>438</v>
      </c>
      <c r="E13" s="283">
        <v>20620</v>
      </c>
      <c r="F13" s="283"/>
      <c r="G13" s="540">
        <f>+'700 Debt '!O16+'700 Debt '!O42</f>
        <v>20621</v>
      </c>
      <c r="H13" s="178"/>
      <c r="I13" s="75">
        <f t="shared" si="0"/>
        <v>20621</v>
      </c>
    </row>
    <row r="14" spans="1:11" x14ac:dyDescent="0.25">
      <c r="A14" s="73"/>
      <c r="B14" s="73"/>
      <c r="C14" s="74"/>
      <c r="D14" s="73"/>
      <c r="E14" s="283"/>
      <c r="F14" s="283"/>
      <c r="G14" s="283"/>
      <c r="H14" s="178"/>
      <c r="I14" s="75"/>
    </row>
    <row r="15" spans="1:11" x14ac:dyDescent="0.25">
      <c r="A15" s="74">
        <v>39392</v>
      </c>
      <c r="B15" s="73" t="s">
        <v>613</v>
      </c>
      <c r="C15" s="74">
        <v>40141</v>
      </c>
      <c r="D15" s="73" t="s">
        <v>438</v>
      </c>
      <c r="E15" s="283">
        <v>36201</v>
      </c>
      <c r="F15" s="283"/>
      <c r="G15" s="540">
        <f>+'700 Debt '!O12+'700 Debt '!O36</f>
        <v>357244</v>
      </c>
      <c r="H15" s="416"/>
      <c r="I15" s="75">
        <f t="shared" si="0"/>
        <v>357244</v>
      </c>
    </row>
    <row r="16" spans="1:11" x14ac:dyDescent="0.25">
      <c r="A16" s="73"/>
      <c r="B16" s="417" t="s">
        <v>1060</v>
      </c>
      <c r="C16" s="73"/>
      <c r="D16" s="73"/>
      <c r="E16" s="283">
        <v>7375</v>
      </c>
      <c r="F16" s="283"/>
      <c r="G16" s="283">
        <f>+'700 Debt '!O45+'700 Debt '!O20</f>
        <v>7225</v>
      </c>
      <c r="H16" s="75"/>
      <c r="I16" s="75">
        <f t="shared" si="0"/>
        <v>7225</v>
      </c>
    </row>
    <row r="17" spans="1:10" x14ac:dyDescent="0.25">
      <c r="A17" s="73"/>
      <c r="B17" s="417"/>
      <c r="C17" s="73"/>
      <c r="D17" s="73"/>
      <c r="E17" s="283"/>
      <c r="F17" s="283"/>
      <c r="G17" s="283"/>
      <c r="H17" s="75"/>
      <c r="I17" s="75"/>
    </row>
    <row r="18" spans="1:10" x14ac:dyDescent="0.25">
      <c r="A18" s="74">
        <v>43241</v>
      </c>
      <c r="B18" s="417" t="s">
        <v>1221</v>
      </c>
      <c r="C18" s="73"/>
      <c r="D18" s="73" t="s">
        <v>438</v>
      </c>
      <c r="E18" s="283">
        <v>152884</v>
      </c>
      <c r="F18" s="283"/>
      <c r="G18" s="283">
        <f>+'700 Debt '!O26+'700 Debt '!O51</f>
        <v>149284</v>
      </c>
      <c r="H18" s="75"/>
      <c r="I18" s="75">
        <f t="shared" si="0"/>
        <v>149284</v>
      </c>
    </row>
    <row r="19" spans="1:10" x14ac:dyDescent="0.25">
      <c r="A19" s="74">
        <v>43241</v>
      </c>
      <c r="B19" s="417" t="s">
        <v>1221</v>
      </c>
      <c r="C19" s="73"/>
      <c r="D19" s="73" t="s">
        <v>438</v>
      </c>
      <c r="E19" s="283">
        <v>321769</v>
      </c>
      <c r="F19" s="283"/>
      <c r="G19" s="283">
        <f>+'700 Debt '!O27+'700 Debt '!O52</f>
        <v>324519</v>
      </c>
      <c r="H19" s="75"/>
      <c r="I19" s="75">
        <f t="shared" si="0"/>
        <v>324519</v>
      </c>
    </row>
    <row r="20" spans="1:10" x14ac:dyDescent="0.25">
      <c r="A20" s="74">
        <v>43241</v>
      </c>
      <c r="B20" s="417" t="s">
        <v>1221</v>
      </c>
      <c r="C20" s="73"/>
      <c r="D20" s="73" t="s">
        <v>438</v>
      </c>
      <c r="E20" s="283"/>
      <c r="F20" s="283"/>
      <c r="G20" s="283">
        <f>+'700 Debt '!O28+'700 Debt '!O53</f>
        <v>92541.67</v>
      </c>
      <c r="H20" s="75"/>
      <c r="I20" s="75">
        <f t="shared" si="0"/>
        <v>92541.67</v>
      </c>
    </row>
    <row r="21" spans="1:10" x14ac:dyDescent="0.25">
      <c r="A21" s="73"/>
      <c r="B21" s="417"/>
      <c r="C21" s="73"/>
      <c r="D21" s="73"/>
      <c r="E21" s="283"/>
      <c r="F21" s="283"/>
      <c r="G21" s="283"/>
      <c r="H21" s="75"/>
      <c r="I21" s="75"/>
    </row>
    <row r="22" spans="1:10" x14ac:dyDescent="0.25">
      <c r="A22" s="73">
        <v>2016</v>
      </c>
      <c r="B22" s="417" t="s">
        <v>1291</v>
      </c>
      <c r="C22" s="73"/>
      <c r="D22" s="73" t="s">
        <v>1196</v>
      </c>
      <c r="E22" s="283">
        <v>40363</v>
      </c>
      <c r="F22" s="283"/>
      <c r="G22" s="283">
        <f>+'700 Debt '!O50+'700 Debt '!O25</f>
        <v>39938</v>
      </c>
      <c r="H22" s="75"/>
      <c r="I22" s="75">
        <f t="shared" si="0"/>
        <v>39938</v>
      </c>
    </row>
    <row r="23" spans="1:10" x14ac:dyDescent="0.25">
      <c r="A23" s="73"/>
      <c r="B23" s="63"/>
      <c r="C23" s="73"/>
      <c r="D23" s="73"/>
      <c r="E23" s="73"/>
      <c r="F23" s="73"/>
      <c r="G23" s="73"/>
      <c r="H23" s="73"/>
      <c r="I23" s="73"/>
    </row>
    <row r="25" spans="1:10" x14ac:dyDescent="0.25">
      <c r="A25" s="181"/>
      <c r="B25" s="240"/>
      <c r="E25" s="68">
        <f>SUM(E5:E24)</f>
        <v>833571</v>
      </c>
      <c r="G25" s="68">
        <f>SUM(G5:G24)</f>
        <v>1182555.67</v>
      </c>
      <c r="I25" s="68">
        <f>SUM(I5:I24)</f>
        <v>1182555.67</v>
      </c>
    </row>
    <row r="26" spans="1:10" x14ac:dyDescent="0.25">
      <c r="B26" s="240"/>
    </row>
    <row r="27" spans="1:10" x14ac:dyDescent="0.25">
      <c r="B27" s="342"/>
    </row>
    <row r="28" spans="1:10" x14ac:dyDescent="0.25">
      <c r="C28" t="s">
        <v>554</v>
      </c>
      <c r="E28" s="68">
        <f>+E5+E10+E11+E12+E13+E15+E16+E18+E22+E19</f>
        <v>656462</v>
      </c>
      <c r="G28" s="68">
        <f>+G5+G10+G11+G12+G13+G15+G16+G18+G22+G19+G20</f>
        <v>1068222.67</v>
      </c>
      <c r="I28" s="68">
        <f>+I5+I10+I11+I12+I13+I15+I16+I18+I22+I19+I20</f>
        <v>1068222.67</v>
      </c>
      <c r="J28" s="68"/>
    </row>
    <row r="29" spans="1:10" x14ac:dyDescent="0.25">
      <c r="C29" t="s">
        <v>334</v>
      </c>
      <c r="E29" s="68">
        <f>+E7+E8</f>
        <v>177109</v>
      </c>
      <c r="G29" s="68">
        <f>+G7+G8</f>
        <v>114333</v>
      </c>
      <c r="I29" s="68">
        <f>+I7+I8</f>
        <v>114333</v>
      </c>
      <c r="J29" s="68"/>
    </row>
    <row r="30" spans="1:10" x14ac:dyDescent="0.25">
      <c r="C30" t="s">
        <v>439</v>
      </c>
      <c r="E30" s="68">
        <f>SUM(E28:E29)</f>
        <v>833571</v>
      </c>
      <c r="G30" s="68">
        <f>SUM(G28:G29)</f>
        <v>1182555.67</v>
      </c>
      <c r="I30" s="68">
        <f>SUM(I28:I29)</f>
        <v>1182555.67</v>
      </c>
      <c r="J30" s="68"/>
    </row>
    <row r="31" spans="1:10" x14ac:dyDescent="0.25">
      <c r="G31" s="68"/>
    </row>
    <row r="32" spans="1:10" x14ac:dyDescent="0.25">
      <c r="A32" s="171"/>
      <c r="C32" t="s">
        <v>1062</v>
      </c>
      <c r="E32" s="68">
        <f>+E30-E25</f>
        <v>0</v>
      </c>
      <c r="G32" s="68">
        <f>+G30-G25</f>
        <v>0</v>
      </c>
      <c r="I32" s="68">
        <f>+I30-I25</f>
        <v>0</v>
      </c>
    </row>
    <row r="33" spans="1:2" x14ac:dyDescent="0.25">
      <c r="A33" s="181"/>
      <c r="B33" s="171"/>
    </row>
    <row r="34" spans="1:2" x14ac:dyDescent="0.25">
      <c r="A34" s="181"/>
    </row>
    <row r="35" spans="1:2" x14ac:dyDescent="0.25">
      <c r="B35" s="181"/>
    </row>
  </sheetData>
  <phoneticPr fontId="0" type="noConversion"/>
  <hyperlinks>
    <hyperlink ref="A1" location="'Table of Contents'!A1" display="TOC" xr:uid="{00000000-0004-0000-3F00-000000000000}"/>
  </hyperlinks>
  <pageMargins left="0.75" right="0.75" top="1" bottom="1" header="0.5" footer="0.5"/>
  <pageSetup scale="73" orientation="landscape" horizontalDpi="300" verticalDpi="300" r:id="rId1"/>
  <headerFooter alignWithMargins="0">
    <oddFooter xml:space="preserve">&amp;L&amp;D  &amp;T&amp;C&amp;F&amp;R&amp;A </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92D050"/>
    <pageSetUpPr fitToPage="1"/>
  </sheetPr>
  <dimension ref="A1:I122"/>
  <sheetViews>
    <sheetView workbookViewId="0">
      <selection activeCell="C4" sqref="C4"/>
    </sheetView>
  </sheetViews>
  <sheetFormatPr defaultRowHeight="13.2" x14ac:dyDescent="0.25"/>
  <sheetData>
    <row r="1" spans="1:9" ht="18" x14ac:dyDescent="0.35">
      <c r="A1" s="1158" t="s">
        <v>715</v>
      </c>
      <c r="B1" s="1158"/>
      <c r="C1" s="1158"/>
      <c r="D1" s="1158"/>
      <c r="E1" s="1158"/>
      <c r="F1" s="1158"/>
      <c r="G1" s="1158"/>
      <c r="H1" s="1158"/>
      <c r="I1" s="1158"/>
    </row>
    <row r="2" spans="1:9" ht="15.6" x14ac:dyDescent="0.3">
      <c r="A2" s="1160" t="s">
        <v>1608</v>
      </c>
      <c r="B2" s="1160"/>
      <c r="C2" s="1160"/>
      <c r="D2" s="1160"/>
      <c r="E2" s="1160"/>
      <c r="F2" s="1160"/>
      <c r="G2" s="1160"/>
      <c r="H2" s="1160"/>
      <c r="I2" s="371" t="s">
        <v>1348</v>
      </c>
    </row>
    <row r="3" spans="1:9" ht="18" x14ac:dyDescent="0.35">
      <c r="A3" s="1002" t="s">
        <v>1646</v>
      </c>
      <c r="B3" s="1001"/>
      <c r="C3" s="1048">
        <v>0</v>
      </c>
      <c r="D3" s="179"/>
      <c r="E3" s="179"/>
      <c r="F3" s="179"/>
      <c r="G3" s="179"/>
      <c r="H3" s="179"/>
      <c r="I3" s="690"/>
    </row>
    <row r="4" spans="1:9" ht="18" x14ac:dyDescent="0.35">
      <c r="A4" s="262" t="s">
        <v>33</v>
      </c>
      <c r="B4" s="138"/>
      <c r="C4" s="138"/>
      <c r="D4" s="138"/>
      <c r="E4" s="138"/>
      <c r="F4" s="138"/>
      <c r="G4" s="138"/>
      <c r="H4" s="138"/>
      <c r="I4" s="691"/>
    </row>
    <row r="5" spans="1:9" x14ac:dyDescent="0.25">
      <c r="A5" s="182" t="s">
        <v>741</v>
      </c>
      <c r="B5" s="996">
        <v>1</v>
      </c>
      <c r="C5" s="996">
        <v>2</v>
      </c>
      <c r="D5" s="996">
        <v>3</v>
      </c>
      <c r="E5" s="996">
        <v>4</v>
      </c>
      <c r="F5" s="996">
        <v>5</v>
      </c>
      <c r="G5" s="996">
        <v>6</v>
      </c>
      <c r="H5" s="996">
        <v>7</v>
      </c>
      <c r="I5" s="997">
        <v>8</v>
      </c>
    </row>
    <row r="6" spans="1:9" ht="13.8" x14ac:dyDescent="0.25">
      <c r="A6" s="182" t="s">
        <v>742</v>
      </c>
      <c r="B6" s="263">
        <f>ROUND((+B16*(1+$C$3)),2)</f>
        <v>23.29</v>
      </c>
      <c r="C6" s="263">
        <f t="shared" ref="C6:I6" si="0">ROUND((+C16*(1+$C$3)),2)</f>
        <v>24.22</v>
      </c>
      <c r="D6" s="263">
        <f t="shared" si="0"/>
        <v>25.19</v>
      </c>
      <c r="E6" s="263">
        <f t="shared" si="0"/>
        <v>26.21</v>
      </c>
      <c r="F6" s="263">
        <f t="shared" si="0"/>
        <v>27.25</v>
      </c>
      <c r="G6" s="263">
        <f t="shared" si="0"/>
        <v>28.35</v>
      </c>
      <c r="H6" s="263">
        <f t="shared" si="0"/>
        <v>29.47</v>
      </c>
      <c r="I6" s="264">
        <f t="shared" si="0"/>
        <v>30.64</v>
      </c>
    </row>
    <row r="7" spans="1:9" ht="13.8" x14ac:dyDescent="0.25">
      <c r="A7" s="182" t="s">
        <v>629</v>
      </c>
      <c r="B7" s="263">
        <f>ROUND((+B17*(1+$C$3)),2)</f>
        <v>25.24</v>
      </c>
      <c r="C7" s="263">
        <f t="shared" ref="C7:I7" si="1">ROUND((+C17*(1+$C$3)),2)</f>
        <v>26.26</v>
      </c>
      <c r="D7" s="263">
        <f t="shared" si="1"/>
        <v>27.3</v>
      </c>
      <c r="E7" s="263">
        <f t="shared" si="1"/>
        <v>28.4</v>
      </c>
      <c r="F7" s="263">
        <f t="shared" si="1"/>
        <v>29.53</v>
      </c>
      <c r="G7" s="263">
        <f t="shared" si="1"/>
        <v>30.71</v>
      </c>
      <c r="H7" s="263">
        <f t="shared" si="1"/>
        <v>31.95</v>
      </c>
      <c r="I7" s="264">
        <f t="shared" si="1"/>
        <v>33.229999999999997</v>
      </c>
    </row>
    <row r="8" spans="1:9" ht="13.8" x14ac:dyDescent="0.25">
      <c r="A8" s="182" t="s">
        <v>741</v>
      </c>
      <c r="B8" s="263"/>
      <c r="C8" s="263"/>
      <c r="D8" s="263"/>
      <c r="E8" s="998">
        <v>1</v>
      </c>
      <c r="F8" s="998">
        <v>2</v>
      </c>
      <c r="G8" s="998">
        <v>3</v>
      </c>
      <c r="H8" s="998">
        <v>4</v>
      </c>
      <c r="I8" s="999">
        <v>5</v>
      </c>
    </row>
    <row r="9" spans="1:9" ht="13.8" x14ac:dyDescent="0.25">
      <c r="A9" s="182" t="s">
        <v>628</v>
      </c>
      <c r="B9" s="263"/>
      <c r="C9" s="263"/>
      <c r="D9" s="263"/>
      <c r="E9" s="263"/>
      <c r="F9" s="263">
        <f t="shared" ref="F9:I9" si="2">ROUND((+F19*(1+$C$3)),2)</f>
        <v>31.52</v>
      </c>
      <c r="G9" s="263">
        <f t="shared" si="2"/>
        <v>32.770000000000003</v>
      </c>
      <c r="H9" s="263">
        <f t="shared" si="2"/>
        <v>34.07</v>
      </c>
      <c r="I9" s="264">
        <f t="shared" si="2"/>
        <v>35.43</v>
      </c>
    </row>
    <row r="10" spans="1:9" ht="13.8" x14ac:dyDescent="0.25">
      <c r="A10" s="183" t="s">
        <v>627</v>
      </c>
      <c r="B10" s="265"/>
      <c r="C10" s="265"/>
      <c r="D10" s="265"/>
      <c r="E10" s="265"/>
      <c r="F10" s="265">
        <f t="shared" ref="F10:I10" si="3">ROUND((+F20*(1+$C$3)),2)</f>
        <v>34.979999999999997</v>
      </c>
      <c r="G10" s="265">
        <f t="shared" si="3"/>
        <v>36.39</v>
      </c>
      <c r="H10" s="265">
        <f t="shared" si="3"/>
        <v>37.840000000000003</v>
      </c>
      <c r="I10" s="266">
        <f t="shared" si="3"/>
        <v>39.35</v>
      </c>
    </row>
    <row r="11" spans="1:9" ht="18" x14ac:dyDescent="0.35">
      <c r="A11" s="680"/>
      <c r="B11" s="680"/>
      <c r="C11" s="680"/>
      <c r="D11" s="680"/>
      <c r="E11" s="680"/>
      <c r="F11" s="680"/>
      <c r="G11" s="680"/>
      <c r="H11" s="680"/>
      <c r="I11" s="680"/>
    </row>
    <row r="12" spans="1:9" ht="15.6" x14ac:dyDescent="0.3">
      <c r="A12" s="1160" t="s">
        <v>1423</v>
      </c>
      <c r="B12" s="1160"/>
      <c r="C12" s="1160"/>
      <c r="D12" s="1160"/>
      <c r="E12" s="1160"/>
      <c r="F12" s="1160"/>
      <c r="G12" s="1160"/>
      <c r="H12" s="1160"/>
      <c r="I12" s="371" t="s">
        <v>1348</v>
      </c>
    </row>
    <row r="13" spans="1:9" ht="18" x14ac:dyDescent="0.35">
      <c r="A13" s="347" t="s">
        <v>1424</v>
      </c>
      <c r="B13" s="179"/>
      <c r="C13" s="179"/>
      <c r="D13" s="179"/>
      <c r="E13" s="179"/>
      <c r="F13" s="179"/>
      <c r="G13" s="179"/>
      <c r="H13" s="179"/>
      <c r="I13" s="690"/>
    </row>
    <row r="14" spans="1:9" ht="18" x14ac:dyDescent="0.35">
      <c r="A14" s="262" t="s">
        <v>33</v>
      </c>
      <c r="B14" s="138"/>
      <c r="C14" s="138"/>
      <c r="D14" s="138"/>
      <c r="E14" s="138"/>
      <c r="F14" s="138"/>
      <c r="G14" s="138"/>
      <c r="H14" s="138"/>
      <c r="I14" s="691"/>
    </row>
    <row r="15" spans="1:9" x14ac:dyDescent="0.25">
      <c r="A15" s="182" t="s">
        <v>741</v>
      </c>
      <c r="B15" s="996">
        <v>1</v>
      </c>
      <c r="C15" s="996">
        <v>2</v>
      </c>
      <c r="D15" s="996">
        <v>3</v>
      </c>
      <c r="E15" s="996">
        <v>4</v>
      </c>
      <c r="F15" s="996">
        <v>5</v>
      </c>
      <c r="G15" s="996">
        <v>6</v>
      </c>
      <c r="H15" s="996">
        <v>7</v>
      </c>
      <c r="I15" s="997">
        <v>8</v>
      </c>
    </row>
    <row r="16" spans="1:9" ht="13.8" x14ac:dyDescent="0.25">
      <c r="A16" s="182" t="s">
        <v>742</v>
      </c>
      <c r="B16" s="263">
        <f>ROUND((+B26*1.015),2)</f>
        <v>23.29</v>
      </c>
      <c r="C16" s="263">
        <f t="shared" ref="C16:I16" si="4">ROUND((+C26*1.015),2)</f>
        <v>24.22</v>
      </c>
      <c r="D16" s="263">
        <f t="shared" si="4"/>
        <v>25.19</v>
      </c>
      <c r="E16" s="263">
        <f t="shared" si="4"/>
        <v>26.21</v>
      </c>
      <c r="F16" s="263">
        <f t="shared" si="4"/>
        <v>27.25</v>
      </c>
      <c r="G16" s="263">
        <f t="shared" si="4"/>
        <v>28.35</v>
      </c>
      <c r="H16" s="263">
        <f t="shared" si="4"/>
        <v>29.47</v>
      </c>
      <c r="I16" s="264">
        <f t="shared" si="4"/>
        <v>30.64</v>
      </c>
    </row>
    <row r="17" spans="1:9" ht="13.8" x14ac:dyDescent="0.25">
      <c r="A17" s="182" t="s">
        <v>629</v>
      </c>
      <c r="B17" s="263">
        <f>ROUND((+B27*1.015),2)</f>
        <v>25.24</v>
      </c>
      <c r="C17" s="263">
        <f t="shared" ref="C17:I17" si="5">ROUND((+C27*1.015),2)</f>
        <v>26.26</v>
      </c>
      <c r="D17" s="263">
        <f t="shared" si="5"/>
        <v>27.3</v>
      </c>
      <c r="E17" s="263">
        <f t="shared" si="5"/>
        <v>28.4</v>
      </c>
      <c r="F17" s="263">
        <f t="shared" si="5"/>
        <v>29.53</v>
      </c>
      <c r="G17" s="263">
        <f t="shared" si="5"/>
        <v>30.71</v>
      </c>
      <c r="H17" s="263">
        <f t="shared" si="5"/>
        <v>31.95</v>
      </c>
      <c r="I17" s="264">
        <f t="shared" si="5"/>
        <v>33.229999999999997</v>
      </c>
    </row>
    <row r="18" spans="1:9" ht="13.8" x14ac:dyDescent="0.25">
      <c r="A18" s="182" t="s">
        <v>741</v>
      </c>
      <c r="B18" s="263"/>
      <c r="C18" s="263"/>
      <c r="D18" s="263"/>
      <c r="E18" s="998">
        <v>1</v>
      </c>
      <c r="F18" s="998">
        <v>2</v>
      </c>
      <c r="G18" s="998">
        <v>3</v>
      </c>
      <c r="H18" s="998">
        <v>4</v>
      </c>
      <c r="I18" s="999">
        <v>5</v>
      </c>
    </row>
    <row r="19" spans="1:9" ht="13.8" x14ac:dyDescent="0.25">
      <c r="A19" s="182" t="s">
        <v>628</v>
      </c>
      <c r="B19" s="263"/>
      <c r="C19" s="263"/>
      <c r="D19" s="263"/>
      <c r="E19" s="263"/>
      <c r="F19" s="263">
        <f>ROUND((+F29*1.015),2)</f>
        <v>31.52</v>
      </c>
      <c r="G19" s="263">
        <f t="shared" ref="G19:I19" si="6">ROUND((+G29*1.015),2)</f>
        <v>32.770000000000003</v>
      </c>
      <c r="H19" s="263">
        <f t="shared" si="6"/>
        <v>34.07</v>
      </c>
      <c r="I19" s="264">
        <f t="shared" si="6"/>
        <v>35.43</v>
      </c>
    </row>
    <row r="20" spans="1:9" ht="13.8" x14ac:dyDescent="0.25">
      <c r="A20" s="183" t="s">
        <v>627</v>
      </c>
      <c r="B20" s="265"/>
      <c r="C20" s="265"/>
      <c r="D20" s="265"/>
      <c r="E20" s="265"/>
      <c r="F20" s="265">
        <f>ROUND((+F30*1.015),2)</f>
        <v>34.979999999999997</v>
      </c>
      <c r="G20" s="265">
        <f t="shared" ref="G20:I20" si="7">ROUND((+G30*1.015),2)</f>
        <v>36.39</v>
      </c>
      <c r="H20" s="265">
        <f t="shared" si="7"/>
        <v>37.840000000000003</v>
      </c>
      <c r="I20" s="266">
        <f t="shared" si="7"/>
        <v>39.35</v>
      </c>
    </row>
    <row r="21" spans="1:9" ht="18" x14ac:dyDescent="0.35">
      <c r="A21" s="991"/>
      <c r="B21" s="991"/>
      <c r="C21" s="991"/>
      <c r="D21" s="991"/>
      <c r="E21" s="991"/>
      <c r="F21" s="991"/>
      <c r="G21" s="991"/>
      <c r="H21" s="991"/>
      <c r="I21" s="991"/>
    </row>
    <row r="22" spans="1:9" ht="18" x14ac:dyDescent="0.35">
      <c r="A22" s="1160" t="s">
        <v>1307</v>
      </c>
      <c r="B22" s="1160"/>
      <c r="C22" s="1160"/>
      <c r="D22" s="1160"/>
      <c r="E22" s="1160"/>
      <c r="F22" s="1160"/>
      <c r="G22" s="1160"/>
      <c r="H22" s="1160"/>
      <c r="I22" s="758"/>
    </row>
    <row r="23" spans="1:9" ht="18" x14ac:dyDescent="0.35">
      <c r="A23" s="347" t="s">
        <v>1308</v>
      </c>
      <c r="B23" s="179"/>
      <c r="C23" s="179"/>
      <c r="D23" s="179"/>
      <c r="E23" s="179"/>
      <c r="F23" s="179"/>
      <c r="G23" s="179"/>
      <c r="H23" s="179"/>
      <c r="I23" s="690"/>
    </row>
    <row r="24" spans="1:9" ht="18" x14ac:dyDescent="0.35">
      <c r="A24" s="262" t="s">
        <v>33</v>
      </c>
      <c r="B24" s="138"/>
      <c r="C24" s="138"/>
      <c r="D24" s="138"/>
      <c r="E24" s="138"/>
      <c r="F24" s="138"/>
      <c r="G24" s="138"/>
      <c r="H24" s="138"/>
      <c r="I24" s="691"/>
    </row>
    <row r="25" spans="1:9" x14ac:dyDescent="0.25">
      <c r="A25" s="182" t="s">
        <v>741</v>
      </c>
      <c r="B25" s="996">
        <v>1</v>
      </c>
      <c r="C25" s="996">
        <v>2</v>
      </c>
      <c r="D25" s="996">
        <v>3</v>
      </c>
      <c r="E25" s="996">
        <v>4</v>
      </c>
      <c r="F25" s="996">
        <v>5</v>
      </c>
      <c r="G25" s="996">
        <v>6</v>
      </c>
      <c r="H25" s="996">
        <v>7</v>
      </c>
      <c r="I25" s="997">
        <v>8</v>
      </c>
    </row>
    <row r="26" spans="1:9" ht="13.8" x14ac:dyDescent="0.25">
      <c r="A26" s="182" t="s">
        <v>742</v>
      </c>
      <c r="B26" s="263">
        <f>ROUND((+B36*1),2)</f>
        <v>22.95</v>
      </c>
      <c r="C26" s="263">
        <f t="shared" ref="C26:H26" si="8">ROUND((+C36*1),2)</f>
        <v>23.86</v>
      </c>
      <c r="D26" s="263">
        <f t="shared" si="8"/>
        <v>24.82</v>
      </c>
      <c r="E26" s="263">
        <f t="shared" si="8"/>
        <v>25.82</v>
      </c>
      <c r="F26" s="263">
        <f t="shared" si="8"/>
        <v>26.85</v>
      </c>
      <c r="G26" s="263">
        <f t="shared" si="8"/>
        <v>27.93</v>
      </c>
      <c r="H26" s="263">
        <f t="shared" si="8"/>
        <v>29.03</v>
      </c>
      <c r="I26" s="688">
        <f>ROUND((+H26*1.04),2)</f>
        <v>30.19</v>
      </c>
    </row>
    <row r="27" spans="1:9" ht="13.8" x14ac:dyDescent="0.25">
      <c r="A27" s="182" t="s">
        <v>629</v>
      </c>
      <c r="B27" s="263">
        <f>ROUND((+B37*1),2)</f>
        <v>24.87</v>
      </c>
      <c r="C27" s="263">
        <f t="shared" ref="C27:H27" si="9">ROUND((+C37*1),2)</f>
        <v>25.87</v>
      </c>
      <c r="D27" s="263">
        <f t="shared" si="9"/>
        <v>26.9</v>
      </c>
      <c r="E27" s="263">
        <f t="shared" si="9"/>
        <v>27.98</v>
      </c>
      <c r="F27" s="263">
        <f t="shared" si="9"/>
        <v>29.09</v>
      </c>
      <c r="G27" s="263">
        <f t="shared" si="9"/>
        <v>30.26</v>
      </c>
      <c r="H27" s="263">
        <f t="shared" si="9"/>
        <v>31.48</v>
      </c>
      <c r="I27" s="688">
        <f>ROUND((+H27*1.04),2)</f>
        <v>32.74</v>
      </c>
    </row>
    <row r="28" spans="1:9" ht="13.8" x14ac:dyDescent="0.25">
      <c r="A28" s="182" t="s">
        <v>741</v>
      </c>
      <c r="B28" s="263"/>
      <c r="C28" s="263"/>
      <c r="D28" s="263"/>
      <c r="E28" s="998">
        <v>1</v>
      </c>
      <c r="F28" s="998">
        <v>2</v>
      </c>
      <c r="G28" s="998">
        <v>3</v>
      </c>
      <c r="H28" s="998">
        <v>4</v>
      </c>
      <c r="I28" s="999">
        <v>5</v>
      </c>
    </row>
    <row r="29" spans="1:9" ht="13.8" x14ac:dyDescent="0.25">
      <c r="A29" s="182" t="s">
        <v>628</v>
      </c>
      <c r="B29" s="263"/>
      <c r="C29" s="263"/>
      <c r="D29" s="263"/>
      <c r="E29" s="263"/>
      <c r="F29" s="263">
        <f>ROUND((+F39*1),2)</f>
        <v>31.05</v>
      </c>
      <c r="G29" s="263">
        <f t="shared" ref="G29:H29" si="10">ROUND((+G39*1),2)</f>
        <v>32.29</v>
      </c>
      <c r="H29" s="263">
        <f t="shared" si="10"/>
        <v>33.57</v>
      </c>
      <c r="I29" s="688">
        <f>ROUND((+H29*1.04),2)</f>
        <v>34.909999999999997</v>
      </c>
    </row>
    <row r="30" spans="1:9" ht="13.8" x14ac:dyDescent="0.25">
      <c r="A30" s="183" t="s">
        <v>627</v>
      </c>
      <c r="B30" s="265"/>
      <c r="C30" s="265"/>
      <c r="D30" s="265"/>
      <c r="E30" s="265"/>
      <c r="F30" s="265">
        <f>ROUND((+F40*1),2)</f>
        <v>34.46</v>
      </c>
      <c r="G30" s="265">
        <f t="shared" ref="G30:H30" si="11">ROUND((+G40*1),2)</f>
        <v>35.85</v>
      </c>
      <c r="H30" s="265">
        <f t="shared" si="11"/>
        <v>37.28</v>
      </c>
      <c r="I30" s="689">
        <f>ROUND((+H30*1.04),2)</f>
        <v>38.770000000000003</v>
      </c>
    </row>
    <row r="31" spans="1:9" ht="18" x14ac:dyDescent="0.35">
      <c r="A31" s="758"/>
      <c r="B31" s="758"/>
      <c r="C31" s="758"/>
      <c r="D31" s="758"/>
      <c r="E31" s="758"/>
      <c r="F31" s="758"/>
      <c r="G31" s="758"/>
      <c r="H31" s="758"/>
      <c r="I31" s="758"/>
    </row>
    <row r="32" spans="1:9" ht="18" x14ac:dyDescent="0.35">
      <c r="A32" s="1159" t="s">
        <v>1235</v>
      </c>
      <c r="B32" s="1159"/>
      <c r="C32" s="1159"/>
      <c r="D32" s="1159"/>
      <c r="E32" s="1159"/>
      <c r="F32" s="1159"/>
      <c r="G32" s="1159"/>
      <c r="H32" s="1159"/>
      <c r="I32" s="427"/>
    </row>
    <row r="33" spans="1:9" ht="18" x14ac:dyDescent="0.35">
      <c r="A33" s="347" t="s">
        <v>1309</v>
      </c>
      <c r="B33" s="179"/>
      <c r="C33" s="179"/>
      <c r="D33" s="179"/>
      <c r="E33" s="179"/>
      <c r="F33" s="179"/>
      <c r="G33" s="179"/>
      <c r="H33" s="191"/>
      <c r="I33" s="427"/>
    </row>
    <row r="34" spans="1:9" ht="18" x14ac:dyDescent="0.35">
      <c r="A34" s="262" t="s">
        <v>33</v>
      </c>
      <c r="B34" s="138"/>
      <c r="C34" s="138"/>
      <c r="D34" s="138"/>
      <c r="E34" s="138"/>
      <c r="F34" s="138"/>
      <c r="G34" s="138"/>
      <c r="H34" s="259"/>
      <c r="I34" s="427"/>
    </row>
    <row r="35" spans="1:9" ht="18" x14ac:dyDescent="0.35">
      <c r="A35" s="182" t="s">
        <v>741</v>
      </c>
      <c r="B35" s="996">
        <v>1</v>
      </c>
      <c r="C35" s="996">
        <v>2</v>
      </c>
      <c r="D35" s="996">
        <v>3</v>
      </c>
      <c r="E35" s="996">
        <v>4</v>
      </c>
      <c r="F35" s="996">
        <v>5</v>
      </c>
      <c r="G35" s="996">
        <v>6</v>
      </c>
      <c r="H35" s="1000">
        <v>7</v>
      </c>
      <c r="I35" s="427"/>
    </row>
    <row r="36" spans="1:9" ht="18" x14ac:dyDescent="0.35">
      <c r="A36" s="182" t="s">
        <v>742</v>
      </c>
      <c r="B36" s="263">
        <f>ROUND((+B46*1.015),2)</f>
        <v>22.95</v>
      </c>
      <c r="C36" s="263">
        <f t="shared" ref="C36:H36" si="12">ROUND((+C46*1.015),2)</f>
        <v>23.86</v>
      </c>
      <c r="D36" s="263">
        <f t="shared" si="12"/>
        <v>24.82</v>
      </c>
      <c r="E36" s="263">
        <f t="shared" si="12"/>
        <v>25.82</v>
      </c>
      <c r="F36" s="263">
        <f t="shared" si="12"/>
        <v>26.85</v>
      </c>
      <c r="G36" s="263">
        <f t="shared" si="12"/>
        <v>27.93</v>
      </c>
      <c r="H36" s="264">
        <f t="shared" si="12"/>
        <v>29.03</v>
      </c>
      <c r="I36" s="427"/>
    </row>
    <row r="37" spans="1:9" ht="18" x14ac:dyDescent="0.35">
      <c r="A37" s="182" t="s">
        <v>629</v>
      </c>
      <c r="B37" s="263">
        <f>ROUND((+B47*1.015),2)</f>
        <v>24.87</v>
      </c>
      <c r="C37" s="263">
        <f t="shared" ref="C37:H37" si="13">ROUND((+C47*1.015),2)</f>
        <v>25.87</v>
      </c>
      <c r="D37" s="263">
        <f t="shared" si="13"/>
        <v>26.9</v>
      </c>
      <c r="E37" s="263">
        <f t="shared" si="13"/>
        <v>27.98</v>
      </c>
      <c r="F37" s="263">
        <f t="shared" si="13"/>
        <v>29.09</v>
      </c>
      <c r="G37" s="263">
        <f t="shared" si="13"/>
        <v>30.26</v>
      </c>
      <c r="H37" s="264">
        <f t="shared" si="13"/>
        <v>31.48</v>
      </c>
      <c r="I37" s="427"/>
    </row>
    <row r="38" spans="1:9" ht="18" x14ac:dyDescent="0.35">
      <c r="A38" s="182" t="s">
        <v>741</v>
      </c>
      <c r="B38" s="263"/>
      <c r="C38" s="263"/>
      <c r="D38" s="263"/>
      <c r="E38" s="998">
        <v>1</v>
      </c>
      <c r="F38" s="998">
        <v>2</v>
      </c>
      <c r="G38" s="998">
        <v>3</v>
      </c>
      <c r="H38" s="999">
        <v>4</v>
      </c>
      <c r="I38" s="427"/>
    </row>
    <row r="39" spans="1:9" ht="18" x14ac:dyDescent="0.35">
      <c r="A39" s="182" t="s">
        <v>628</v>
      </c>
      <c r="B39" s="263"/>
      <c r="C39" s="263"/>
      <c r="D39" s="263"/>
      <c r="E39" s="263">
        <f t="shared" ref="E39:H39" si="14">ROUND((+E49*1.015),2)</f>
        <v>29.84</v>
      </c>
      <c r="F39" s="263">
        <f t="shared" si="14"/>
        <v>31.05</v>
      </c>
      <c r="G39" s="263">
        <f t="shared" si="14"/>
        <v>32.29</v>
      </c>
      <c r="H39" s="264">
        <f t="shared" si="14"/>
        <v>33.57</v>
      </c>
      <c r="I39" s="427"/>
    </row>
    <row r="40" spans="1:9" ht="18" x14ac:dyDescent="0.35">
      <c r="A40" s="183" t="s">
        <v>627</v>
      </c>
      <c r="B40" s="265"/>
      <c r="C40" s="265"/>
      <c r="D40" s="265"/>
      <c r="E40" s="265">
        <f t="shared" ref="E40:H40" si="15">ROUND((+E50*1.015),2)</f>
        <v>33.14</v>
      </c>
      <c r="F40" s="265">
        <f t="shared" si="15"/>
        <v>34.46</v>
      </c>
      <c r="G40" s="265">
        <f t="shared" si="15"/>
        <v>35.85</v>
      </c>
      <c r="H40" s="266">
        <f t="shared" si="15"/>
        <v>37.28</v>
      </c>
      <c r="I40" s="427"/>
    </row>
    <row r="41" spans="1:9" ht="18" x14ac:dyDescent="0.35">
      <c r="A41" s="427"/>
      <c r="B41" s="427"/>
      <c r="C41" s="427"/>
      <c r="D41" s="427"/>
      <c r="E41" s="427"/>
      <c r="F41" s="427"/>
      <c r="G41" s="427"/>
      <c r="H41" s="427"/>
      <c r="I41" s="427"/>
    </row>
    <row r="42" spans="1:9" ht="18" x14ac:dyDescent="0.35">
      <c r="A42" s="1159" t="s">
        <v>1207</v>
      </c>
      <c r="B42" s="1159"/>
      <c r="C42" s="1159"/>
      <c r="D42" s="1159"/>
      <c r="E42" s="1159"/>
      <c r="F42" s="1159"/>
      <c r="G42" s="1159"/>
      <c r="H42" s="1159"/>
      <c r="I42" s="650"/>
    </row>
    <row r="43" spans="1:9" ht="18" x14ac:dyDescent="0.35">
      <c r="A43" s="347" t="s">
        <v>1208</v>
      </c>
      <c r="B43" s="179"/>
      <c r="C43" s="179"/>
      <c r="D43" s="179"/>
      <c r="E43" s="179"/>
      <c r="F43" s="179"/>
      <c r="G43" s="179"/>
      <c r="H43" s="191"/>
      <c r="I43" s="650"/>
    </row>
    <row r="44" spans="1:9" ht="18" x14ac:dyDescent="0.35">
      <c r="A44" s="262" t="s">
        <v>33</v>
      </c>
      <c r="B44" s="138"/>
      <c r="C44" s="138"/>
      <c r="D44" s="138"/>
      <c r="E44" s="138"/>
      <c r="F44" s="138"/>
      <c r="G44" s="138"/>
      <c r="H44" s="259"/>
      <c r="I44" s="650"/>
    </row>
    <row r="45" spans="1:9" ht="18" x14ac:dyDescent="0.35">
      <c r="A45" s="182" t="s">
        <v>741</v>
      </c>
      <c r="B45" s="996">
        <v>1</v>
      </c>
      <c r="C45" s="996">
        <v>2</v>
      </c>
      <c r="D45" s="996">
        <v>3</v>
      </c>
      <c r="E45" s="996">
        <v>4</v>
      </c>
      <c r="F45" s="996">
        <v>5</v>
      </c>
      <c r="G45" s="996">
        <v>6</v>
      </c>
      <c r="H45" s="1000">
        <v>7</v>
      </c>
      <c r="I45" s="650"/>
    </row>
    <row r="46" spans="1:9" ht="18" x14ac:dyDescent="0.35">
      <c r="A46" s="182" t="s">
        <v>742</v>
      </c>
      <c r="B46" s="263">
        <f>ROUND((+B56*1.02),2)</f>
        <v>22.61</v>
      </c>
      <c r="C46" s="263">
        <v>23.51</v>
      </c>
      <c r="D46" s="263">
        <f t="shared" ref="D46:H46" si="16">ROUND((+D56*1.02),2)</f>
        <v>24.45</v>
      </c>
      <c r="E46" s="263">
        <v>25.44</v>
      </c>
      <c r="F46" s="263">
        <f t="shared" si="16"/>
        <v>26.45</v>
      </c>
      <c r="G46" s="263">
        <v>27.52</v>
      </c>
      <c r="H46" s="264">
        <f t="shared" si="16"/>
        <v>28.6</v>
      </c>
      <c r="I46" s="650"/>
    </row>
    <row r="47" spans="1:9" ht="18" x14ac:dyDescent="0.35">
      <c r="A47" s="182" t="s">
        <v>629</v>
      </c>
      <c r="B47" s="263">
        <f>ROUND((+B57*1.02),2)</f>
        <v>24.5</v>
      </c>
      <c r="C47" s="263">
        <v>25.49</v>
      </c>
      <c r="D47" s="263">
        <f t="shared" ref="D47:H47" si="17">ROUND((+D57*1.02),2)</f>
        <v>26.5</v>
      </c>
      <c r="E47" s="263">
        <v>27.57</v>
      </c>
      <c r="F47" s="263">
        <f t="shared" si="17"/>
        <v>28.66</v>
      </c>
      <c r="G47" s="263">
        <f t="shared" si="17"/>
        <v>29.81</v>
      </c>
      <c r="H47" s="264">
        <f t="shared" si="17"/>
        <v>31.01</v>
      </c>
      <c r="I47" s="650"/>
    </row>
    <row r="48" spans="1:9" ht="18" x14ac:dyDescent="0.35">
      <c r="A48" s="182" t="s">
        <v>741</v>
      </c>
      <c r="B48" s="263"/>
      <c r="C48" s="263"/>
      <c r="D48" s="263"/>
      <c r="E48" s="998">
        <v>1</v>
      </c>
      <c r="F48" s="998">
        <v>2</v>
      </c>
      <c r="G48" s="998">
        <v>3</v>
      </c>
      <c r="H48" s="999">
        <v>4</v>
      </c>
      <c r="I48" s="650"/>
    </row>
    <row r="49" spans="1:9" ht="18" x14ac:dyDescent="0.35">
      <c r="A49" s="182" t="s">
        <v>628</v>
      </c>
      <c r="B49" s="263"/>
      <c r="C49" s="263"/>
      <c r="D49" s="263"/>
      <c r="E49" s="263">
        <f t="shared" ref="E49:H50" si="18">ROUND((+E59*1.02),2)</f>
        <v>29.4</v>
      </c>
      <c r="F49" s="263">
        <f t="shared" si="18"/>
        <v>30.59</v>
      </c>
      <c r="G49" s="263">
        <f t="shared" si="18"/>
        <v>31.81</v>
      </c>
      <c r="H49" s="264">
        <f t="shared" si="18"/>
        <v>33.07</v>
      </c>
      <c r="I49" s="650"/>
    </row>
    <row r="50" spans="1:9" ht="18" x14ac:dyDescent="0.35">
      <c r="A50" s="183" t="s">
        <v>627</v>
      </c>
      <c r="B50" s="265"/>
      <c r="C50" s="265"/>
      <c r="D50" s="265"/>
      <c r="E50" s="265">
        <f t="shared" si="18"/>
        <v>32.65</v>
      </c>
      <c r="F50" s="265">
        <v>33.950000000000003</v>
      </c>
      <c r="G50" s="265">
        <v>35.32</v>
      </c>
      <c r="H50" s="266">
        <f t="shared" si="18"/>
        <v>36.729999999999997</v>
      </c>
      <c r="I50" s="650"/>
    </row>
    <row r="51" spans="1:9" ht="18" x14ac:dyDescent="0.35">
      <c r="A51" s="650"/>
      <c r="B51" s="650"/>
      <c r="C51" s="650"/>
      <c r="D51" s="650"/>
      <c r="E51" s="650"/>
      <c r="F51" s="650"/>
      <c r="G51" s="650"/>
      <c r="H51" s="650"/>
      <c r="I51" s="650"/>
    </row>
    <row r="52" spans="1:9" ht="18" x14ac:dyDescent="0.35">
      <c r="A52" s="1159" t="s">
        <v>1205</v>
      </c>
      <c r="B52" s="1159"/>
      <c r="C52" s="1159"/>
      <c r="D52" s="1159"/>
      <c r="E52" s="1159"/>
      <c r="F52" s="1159"/>
      <c r="G52" s="1159"/>
      <c r="H52" s="1159"/>
      <c r="I52" s="605"/>
    </row>
    <row r="53" spans="1:9" ht="18" x14ac:dyDescent="0.35">
      <c r="A53" s="347" t="s">
        <v>1206</v>
      </c>
      <c r="B53" s="179"/>
      <c r="C53" s="179"/>
      <c r="D53" s="179"/>
      <c r="E53" s="179"/>
      <c r="F53" s="179"/>
      <c r="G53" s="179"/>
      <c r="H53" s="191"/>
      <c r="I53" s="605"/>
    </row>
    <row r="54" spans="1:9" ht="18" x14ac:dyDescent="0.35">
      <c r="A54" s="262" t="s">
        <v>33</v>
      </c>
      <c r="B54" s="138"/>
      <c r="C54" s="138"/>
      <c r="D54" s="138"/>
      <c r="E54" s="138"/>
      <c r="F54" s="138"/>
      <c r="G54" s="138"/>
      <c r="H54" s="259"/>
      <c r="I54" s="605"/>
    </row>
    <row r="55" spans="1:9" ht="18" x14ac:dyDescent="0.35">
      <c r="A55" s="182" t="s">
        <v>741</v>
      </c>
      <c r="B55" s="996">
        <v>1</v>
      </c>
      <c r="C55" s="996">
        <v>2</v>
      </c>
      <c r="D55" s="996">
        <v>3</v>
      </c>
      <c r="E55" s="996">
        <v>4</v>
      </c>
      <c r="F55" s="996">
        <v>5</v>
      </c>
      <c r="G55" s="996">
        <v>6</v>
      </c>
      <c r="H55" s="1000">
        <v>7</v>
      </c>
      <c r="I55" s="605"/>
    </row>
    <row r="56" spans="1:9" ht="18" x14ac:dyDescent="0.35">
      <c r="A56" s="182" t="s">
        <v>742</v>
      </c>
      <c r="B56" s="263">
        <f>ROUND((+B66*1.005),2)</f>
        <v>22.17</v>
      </c>
      <c r="C56" s="263">
        <f t="shared" ref="C56:H56" si="19">ROUND((+C66*1.005),2)</f>
        <v>23.04</v>
      </c>
      <c r="D56" s="263">
        <f t="shared" si="19"/>
        <v>23.97</v>
      </c>
      <c r="E56" s="263">
        <f t="shared" si="19"/>
        <v>24.93</v>
      </c>
      <c r="F56" s="263">
        <f t="shared" si="19"/>
        <v>25.93</v>
      </c>
      <c r="G56" s="263">
        <f t="shared" si="19"/>
        <v>26.97</v>
      </c>
      <c r="H56" s="264">
        <f t="shared" si="19"/>
        <v>28.04</v>
      </c>
      <c r="I56" s="605"/>
    </row>
    <row r="57" spans="1:9" ht="18" x14ac:dyDescent="0.35">
      <c r="A57" s="182" t="s">
        <v>629</v>
      </c>
      <c r="B57" s="263">
        <f t="shared" ref="B57:H57" si="20">ROUND((+B67*1.005),2)</f>
        <v>24.02</v>
      </c>
      <c r="C57" s="263">
        <f t="shared" si="20"/>
        <v>24.98</v>
      </c>
      <c r="D57" s="263">
        <f t="shared" si="20"/>
        <v>25.98</v>
      </c>
      <c r="E57" s="263">
        <f t="shared" si="20"/>
        <v>27.02</v>
      </c>
      <c r="F57" s="263">
        <f t="shared" si="20"/>
        <v>28.1</v>
      </c>
      <c r="G57" s="263">
        <f t="shared" si="20"/>
        <v>29.23</v>
      </c>
      <c r="H57" s="264">
        <f t="shared" si="20"/>
        <v>30.4</v>
      </c>
      <c r="I57" s="605"/>
    </row>
    <row r="58" spans="1:9" ht="18" x14ac:dyDescent="0.35">
      <c r="A58" s="182" t="s">
        <v>741</v>
      </c>
      <c r="B58" s="263"/>
      <c r="C58" s="263"/>
      <c r="D58" s="263"/>
      <c r="E58" s="998">
        <v>1</v>
      </c>
      <c r="F58" s="998">
        <v>2</v>
      </c>
      <c r="G58" s="998">
        <v>3</v>
      </c>
      <c r="H58" s="999">
        <v>4</v>
      </c>
      <c r="I58" s="605"/>
    </row>
    <row r="59" spans="1:9" ht="18" x14ac:dyDescent="0.35">
      <c r="A59" s="182" t="s">
        <v>628</v>
      </c>
      <c r="B59" s="263"/>
      <c r="C59" s="263"/>
      <c r="D59" s="263"/>
      <c r="E59" s="263">
        <f t="shared" ref="E59:H60" si="21">ROUND((+E69*1.005),2)</f>
        <v>28.82</v>
      </c>
      <c r="F59" s="263">
        <f t="shared" si="21"/>
        <v>29.99</v>
      </c>
      <c r="G59" s="263">
        <f t="shared" si="21"/>
        <v>31.19</v>
      </c>
      <c r="H59" s="264">
        <f t="shared" si="21"/>
        <v>32.42</v>
      </c>
      <c r="I59" s="605"/>
    </row>
    <row r="60" spans="1:9" ht="18" x14ac:dyDescent="0.35">
      <c r="A60" s="183" t="s">
        <v>627</v>
      </c>
      <c r="B60" s="265"/>
      <c r="C60" s="265"/>
      <c r="D60" s="265"/>
      <c r="E60" s="265">
        <f t="shared" si="21"/>
        <v>32.01</v>
      </c>
      <c r="F60" s="265">
        <f t="shared" si="21"/>
        <v>33.29</v>
      </c>
      <c r="G60" s="265">
        <f t="shared" si="21"/>
        <v>34.619999999999997</v>
      </c>
      <c r="H60" s="266">
        <f t="shared" si="21"/>
        <v>36.01</v>
      </c>
      <c r="I60" s="605"/>
    </row>
    <row r="61" spans="1:9" ht="18" x14ac:dyDescent="0.35">
      <c r="A61" s="606"/>
      <c r="B61" s="265"/>
      <c r="C61" s="265"/>
      <c r="D61" s="265"/>
      <c r="E61" s="265"/>
      <c r="F61" s="265"/>
      <c r="G61" s="265"/>
      <c r="H61" s="265"/>
      <c r="I61" s="605"/>
    </row>
    <row r="62" spans="1:9" ht="18" x14ac:dyDescent="0.35">
      <c r="A62" s="1159" t="s">
        <v>1014</v>
      </c>
      <c r="B62" s="1159"/>
      <c r="C62" s="1159"/>
      <c r="D62" s="1159"/>
      <c r="E62" s="1159"/>
      <c r="F62" s="1159"/>
      <c r="G62" s="1159"/>
      <c r="H62" s="1159"/>
      <c r="I62" s="349"/>
    </row>
    <row r="63" spans="1:9" ht="18" x14ac:dyDescent="0.35">
      <c r="A63" s="347" t="s">
        <v>1079</v>
      </c>
      <c r="B63" s="179"/>
      <c r="C63" s="179"/>
      <c r="D63" s="179"/>
      <c r="E63" s="179"/>
      <c r="F63" s="179"/>
      <c r="G63" s="179"/>
      <c r="H63" s="191"/>
      <c r="I63" s="414"/>
    </row>
    <row r="64" spans="1:9" ht="18" x14ac:dyDescent="0.35">
      <c r="A64" s="262" t="s">
        <v>33</v>
      </c>
      <c r="B64" s="138"/>
      <c r="C64" s="138"/>
      <c r="D64" s="138"/>
      <c r="E64" s="138"/>
      <c r="F64" s="138"/>
      <c r="G64" s="138"/>
      <c r="H64" s="259"/>
      <c r="I64" s="414"/>
    </row>
    <row r="65" spans="1:9" ht="18" x14ac:dyDescent="0.35">
      <c r="A65" s="182" t="s">
        <v>741</v>
      </c>
      <c r="B65" s="996">
        <v>1</v>
      </c>
      <c r="C65" s="996">
        <v>2</v>
      </c>
      <c r="D65" s="996">
        <v>3</v>
      </c>
      <c r="E65" s="996">
        <v>4</v>
      </c>
      <c r="F65" s="996">
        <v>5</v>
      </c>
      <c r="G65" s="996">
        <v>6</v>
      </c>
      <c r="H65" s="1000">
        <v>7</v>
      </c>
      <c r="I65" s="414"/>
    </row>
    <row r="66" spans="1:9" ht="18" x14ac:dyDescent="0.35">
      <c r="A66" s="182" t="s">
        <v>742</v>
      </c>
      <c r="B66" s="263">
        <f>ROUND((+B76*1.015),2)</f>
        <v>22.06</v>
      </c>
      <c r="C66" s="263">
        <f t="shared" ref="C66:H66" si="22">ROUND((+C76*1.015),2)</f>
        <v>22.93</v>
      </c>
      <c r="D66" s="263">
        <f t="shared" si="22"/>
        <v>23.85</v>
      </c>
      <c r="E66" s="263">
        <f t="shared" si="22"/>
        <v>24.81</v>
      </c>
      <c r="F66" s="263">
        <f t="shared" si="22"/>
        <v>25.8</v>
      </c>
      <c r="G66" s="263">
        <f t="shared" si="22"/>
        <v>26.84</v>
      </c>
      <c r="H66" s="264">
        <f t="shared" si="22"/>
        <v>27.9</v>
      </c>
      <c r="I66" s="414"/>
    </row>
    <row r="67" spans="1:9" ht="18" x14ac:dyDescent="0.35">
      <c r="A67" s="182" t="s">
        <v>629</v>
      </c>
      <c r="B67" s="263">
        <f>ROUND((+B77*1.015),2)</f>
        <v>23.9</v>
      </c>
      <c r="C67" s="263">
        <f t="shared" ref="C67:H67" si="23">ROUND((+C77*1.015),2)</f>
        <v>24.86</v>
      </c>
      <c r="D67" s="263">
        <f t="shared" si="23"/>
        <v>25.85</v>
      </c>
      <c r="E67" s="263">
        <f t="shared" si="23"/>
        <v>26.89</v>
      </c>
      <c r="F67" s="263">
        <f t="shared" si="23"/>
        <v>27.96</v>
      </c>
      <c r="G67" s="263">
        <f t="shared" si="23"/>
        <v>29.08</v>
      </c>
      <c r="H67" s="264">
        <f t="shared" si="23"/>
        <v>30.25</v>
      </c>
      <c r="I67" s="414"/>
    </row>
    <row r="68" spans="1:9" ht="18" x14ac:dyDescent="0.35">
      <c r="A68" s="182" t="s">
        <v>741</v>
      </c>
      <c r="B68" s="263"/>
      <c r="C68" s="263"/>
      <c r="D68" s="263"/>
      <c r="E68" s="998">
        <v>1</v>
      </c>
      <c r="F68" s="998">
        <v>2</v>
      </c>
      <c r="G68" s="998">
        <v>3</v>
      </c>
      <c r="H68" s="999">
        <v>4</v>
      </c>
      <c r="I68" s="414"/>
    </row>
    <row r="69" spans="1:9" ht="18" x14ac:dyDescent="0.35">
      <c r="A69" s="182" t="s">
        <v>628</v>
      </c>
      <c r="B69" s="263"/>
      <c r="C69" s="263"/>
      <c r="D69" s="263"/>
      <c r="E69" s="263">
        <f t="shared" ref="E69:H70" si="24">ROUND((+E79*1.015),2)</f>
        <v>28.68</v>
      </c>
      <c r="F69" s="263">
        <f t="shared" si="24"/>
        <v>29.84</v>
      </c>
      <c r="G69" s="263">
        <f t="shared" si="24"/>
        <v>31.03</v>
      </c>
      <c r="H69" s="264">
        <f t="shared" si="24"/>
        <v>32.26</v>
      </c>
      <c r="I69" s="414"/>
    </row>
    <row r="70" spans="1:9" ht="18" x14ac:dyDescent="0.35">
      <c r="A70" s="183" t="s">
        <v>627</v>
      </c>
      <c r="B70" s="265"/>
      <c r="C70" s="265"/>
      <c r="D70" s="265"/>
      <c r="E70" s="265">
        <f t="shared" si="24"/>
        <v>31.85</v>
      </c>
      <c r="F70" s="265">
        <f t="shared" si="24"/>
        <v>33.119999999999997</v>
      </c>
      <c r="G70" s="265">
        <f t="shared" si="24"/>
        <v>34.450000000000003</v>
      </c>
      <c r="H70" s="266">
        <f t="shared" si="24"/>
        <v>35.83</v>
      </c>
      <c r="I70" s="414"/>
    </row>
    <row r="71" spans="1:9" ht="18" x14ac:dyDescent="0.35">
      <c r="A71" s="415"/>
      <c r="B71" s="415"/>
      <c r="C71" s="415"/>
      <c r="D71" s="415"/>
      <c r="E71" s="415"/>
      <c r="F71" s="415"/>
      <c r="G71" s="415"/>
      <c r="H71" s="415"/>
      <c r="I71" s="414"/>
    </row>
    <row r="72" spans="1:9" ht="18" x14ac:dyDescent="0.35">
      <c r="A72" s="1159" t="s">
        <v>893</v>
      </c>
      <c r="B72" s="1159"/>
      <c r="C72" s="1159"/>
      <c r="D72" s="1159"/>
      <c r="E72" s="1159"/>
      <c r="F72" s="1159"/>
      <c r="G72" s="1159"/>
      <c r="H72" s="1159"/>
      <c r="I72" s="414"/>
    </row>
    <row r="73" spans="1:9" ht="18" x14ac:dyDescent="0.35">
      <c r="A73" s="347" t="s">
        <v>1080</v>
      </c>
      <c r="B73" s="179"/>
      <c r="C73" s="179"/>
      <c r="D73" s="179"/>
      <c r="E73" s="179"/>
      <c r="F73" s="179"/>
      <c r="G73" s="179"/>
      <c r="H73" s="191"/>
      <c r="I73" s="349"/>
    </row>
    <row r="74" spans="1:9" ht="18" x14ac:dyDescent="0.35">
      <c r="A74" s="262" t="s">
        <v>33</v>
      </c>
      <c r="B74" s="138"/>
      <c r="C74" s="138"/>
      <c r="D74" s="138"/>
      <c r="E74" s="138"/>
      <c r="F74" s="138"/>
      <c r="G74" s="138"/>
      <c r="H74" s="259"/>
      <c r="I74" s="349"/>
    </row>
    <row r="75" spans="1:9" ht="18" x14ac:dyDescent="0.35">
      <c r="A75" s="182" t="s">
        <v>741</v>
      </c>
      <c r="B75" s="996">
        <v>1</v>
      </c>
      <c r="C75" s="996">
        <v>2</v>
      </c>
      <c r="D75" s="996">
        <v>3</v>
      </c>
      <c r="E75" s="996">
        <v>4</v>
      </c>
      <c r="F75" s="996">
        <v>5</v>
      </c>
      <c r="G75" s="996">
        <v>6</v>
      </c>
      <c r="H75" s="1000">
        <v>7</v>
      </c>
      <c r="I75" s="349"/>
    </row>
    <row r="76" spans="1:9" ht="18" x14ac:dyDescent="0.35">
      <c r="A76" s="182" t="s">
        <v>742</v>
      </c>
      <c r="B76" s="263">
        <f>ROUND((+B87*1.01),2)</f>
        <v>21.73</v>
      </c>
      <c r="C76" s="263">
        <f t="shared" ref="C76:H76" si="25">ROUND((+C87*1.01),2)</f>
        <v>22.59</v>
      </c>
      <c r="D76" s="263">
        <f t="shared" si="25"/>
        <v>23.5</v>
      </c>
      <c r="E76" s="263">
        <f t="shared" si="25"/>
        <v>24.44</v>
      </c>
      <c r="F76" s="263">
        <f t="shared" si="25"/>
        <v>25.42</v>
      </c>
      <c r="G76" s="263">
        <f t="shared" si="25"/>
        <v>26.44</v>
      </c>
      <c r="H76" s="264">
        <f t="shared" si="25"/>
        <v>27.49</v>
      </c>
      <c r="I76" s="349"/>
    </row>
    <row r="77" spans="1:9" ht="18" x14ac:dyDescent="0.35">
      <c r="A77" s="182" t="s">
        <v>629</v>
      </c>
      <c r="B77" s="263">
        <f t="shared" ref="B77:H77" si="26">ROUND((+B88*1.01),2)</f>
        <v>23.55</v>
      </c>
      <c r="C77" s="263">
        <f t="shared" si="26"/>
        <v>24.49</v>
      </c>
      <c r="D77" s="263">
        <f t="shared" si="26"/>
        <v>25.47</v>
      </c>
      <c r="E77" s="263">
        <f t="shared" si="26"/>
        <v>26.49</v>
      </c>
      <c r="F77" s="263">
        <f t="shared" si="26"/>
        <v>27.55</v>
      </c>
      <c r="G77" s="263">
        <f t="shared" si="26"/>
        <v>28.65</v>
      </c>
      <c r="H77" s="264">
        <f t="shared" si="26"/>
        <v>29.8</v>
      </c>
      <c r="I77" s="349"/>
    </row>
    <row r="78" spans="1:9" ht="18" x14ac:dyDescent="0.35">
      <c r="A78" s="182" t="s">
        <v>741</v>
      </c>
      <c r="B78" s="263"/>
      <c r="C78" s="263"/>
      <c r="D78" s="263"/>
      <c r="E78" s="998">
        <v>1</v>
      </c>
      <c r="F78" s="998">
        <v>2</v>
      </c>
      <c r="G78" s="998">
        <v>3</v>
      </c>
      <c r="H78" s="999">
        <v>4</v>
      </c>
      <c r="I78" s="349"/>
    </row>
    <row r="79" spans="1:9" ht="18" x14ac:dyDescent="0.35">
      <c r="A79" s="182" t="s">
        <v>628</v>
      </c>
      <c r="B79" s="263"/>
      <c r="C79" s="263"/>
      <c r="D79" s="263"/>
      <c r="E79" s="263">
        <f t="shared" ref="E79:H80" si="27">ROUND((+E90*1.01),2)</f>
        <v>28.26</v>
      </c>
      <c r="F79" s="263">
        <f t="shared" si="27"/>
        <v>29.4</v>
      </c>
      <c r="G79" s="263">
        <f t="shared" si="27"/>
        <v>30.57</v>
      </c>
      <c r="H79" s="264">
        <f t="shared" si="27"/>
        <v>31.78</v>
      </c>
      <c r="I79" s="349"/>
    </row>
    <row r="80" spans="1:9" ht="18" x14ac:dyDescent="0.35">
      <c r="A80" s="183" t="s">
        <v>627</v>
      </c>
      <c r="B80" s="265"/>
      <c r="C80" s="265"/>
      <c r="D80" s="265"/>
      <c r="E80" s="265">
        <f t="shared" si="27"/>
        <v>31.38</v>
      </c>
      <c r="F80" s="265">
        <f t="shared" si="27"/>
        <v>32.630000000000003</v>
      </c>
      <c r="G80" s="265">
        <f t="shared" si="27"/>
        <v>33.94</v>
      </c>
      <c r="H80" s="266">
        <f t="shared" si="27"/>
        <v>35.299999999999997</v>
      </c>
      <c r="I80" s="349"/>
    </row>
    <row r="81" spans="1:9" ht="18" x14ac:dyDescent="0.35">
      <c r="A81" s="349"/>
      <c r="B81" s="349"/>
      <c r="C81" s="349"/>
      <c r="D81" s="349"/>
      <c r="E81" s="349"/>
      <c r="F81" s="349"/>
      <c r="G81" s="349"/>
      <c r="H81" s="349"/>
      <c r="I81" s="349"/>
    </row>
    <row r="82" spans="1:9" ht="18" x14ac:dyDescent="0.35">
      <c r="A82" s="349"/>
      <c r="B82" s="349"/>
      <c r="C82" s="349"/>
      <c r="D82" s="349"/>
      <c r="E82" s="349"/>
      <c r="F82" s="349"/>
      <c r="G82" s="349"/>
      <c r="H82" s="349"/>
      <c r="I82" s="349"/>
    </row>
    <row r="83" spans="1:9" ht="15.6" x14ac:dyDescent="0.3">
      <c r="A83" s="1159" t="s">
        <v>792</v>
      </c>
      <c r="B83" s="1159"/>
      <c r="C83" s="1159"/>
      <c r="D83" s="1159"/>
      <c r="E83" s="1159"/>
      <c r="F83" s="1159"/>
      <c r="G83" s="1159"/>
      <c r="H83" s="1159"/>
      <c r="I83" s="138"/>
    </row>
    <row r="84" spans="1:9" x14ac:dyDescent="0.25">
      <c r="A84" s="267" t="s">
        <v>753</v>
      </c>
      <c r="B84" s="179"/>
      <c r="C84" s="179"/>
      <c r="D84" s="179"/>
      <c r="E84" s="179"/>
      <c r="F84" s="179"/>
      <c r="G84" s="179"/>
      <c r="H84" s="191"/>
      <c r="I84" s="268"/>
    </row>
    <row r="85" spans="1:9" x14ac:dyDescent="0.25">
      <c r="A85" s="262" t="s">
        <v>33</v>
      </c>
      <c r="B85" s="138"/>
      <c r="C85" s="138"/>
      <c r="D85" s="138"/>
      <c r="E85" s="138"/>
      <c r="F85" s="138"/>
      <c r="G85" s="138"/>
      <c r="H85" s="259"/>
      <c r="I85" s="229"/>
    </row>
    <row r="86" spans="1:9" x14ac:dyDescent="0.25">
      <c r="A86" s="182" t="s">
        <v>741</v>
      </c>
      <c r="B86" s="996">
        <v>1</v>
      </c>
      <c r="C86" s="996">
        <v>2</v>
      </c>
      <c r="D86" s="996">
        <v>3</v>
      </c>
      <c r="E86" s="996">
        <v>4</v>
      </c>
      <c r="F86" s="996">
        <v>5</v>
      </c>
      <c r="G86" s="996">
        <v>6</v>
      </c>
      <c r="H86" s="1000">
        <v>7</v>
      </c>
      <c r="I86" s="229"/>
    </row>
    <row r="87" spans="1:9" ht="13.8" x14ac:dyDescent="0.25">
      <c r="A87" s="182" t="s">
        <v>742</v>
      </c>
      <c r="B87" s="263">
        <f>ROUND((+B98*1.01),2)</f>
        <v>21.51</v>
      </c>
      <c r="C87" s="263">
        <f t="shared" ref="C87:H87" si="28">ROUND((+C98*1.01),2)</f>
        <v>22.37</v>
      </c>
      <c r="D87" s="263">
        <f t="shared" si="28"/>
        <v>23.27</v>
      </c>
      <c r="E87" s="263">
        <f t="shared" si="28"/>
        <v>24.2</v>
      </c>
      <c r="F87" s="263">
        <f t="shared" si="28"/>
        <v>25.17</v>
      </c>
      <c r="G87" s="263">
        <f t="shared" si="28"/>
        <v>26.18</v>
      </c>
      <c r="H87" s="264">
        <f t="shared" si="28"/>
        <v>27.22</v>
      </c>
      <c r="I87" s="229"/>
    </row>
    <row r="88" spans="1:9" ht="13.8" x14ac:dyDescent="0.25">
      <c r="A88" s="182" t="s">
        <v>629</v>
      </c>
      <c r="B88" s="263">
        <f>ROUND((+B99*1.01),2)</f>
        <v>23.32</v>
      </c>
      <c r="C88" s="263">
        <f t="shared" ref="C88:H88" si="29">ROUND((+C99*1.01),2)</f>
        <v>24.25</v>
      </c>
      <c r="D88" s="263">
        <f t="shared" si="29"/>
        <v>25.22</v>
      </c>
      <c r="E88" s="263">
        <f t="shared" si="29"/>
        <v>26.23</v>
      </c>
      <c r="F88" s="263">
        <f t="shared" si="29"/>
        <v>27.28</v>
      </c>
      <c r="G88" s="263">
        <f t="shared" si="29"/>
        <v>28.37</v>
      </c>
      <c r="H88" s="264">
        <f t="shared" si="29"/>
        <v>29.5</v>
      </c>
      <c r="I88" s="229"/>
    </row>
    <row r="89" spans="1:9" ht="13.8" x14ac:dyDescent="0.25">
      <c r="A89" s="182" t="s">
        <v>741</v>
      </c>
      <c r="B89" s="263"/>
      <c r="C89" s="263"/>
      <c r="D89" s="263"/>
      <c r="E89" s="998">
        <v>1</v>
      </c>
      <c r="F89" s="998">
        <v>2</v>
      </c>
      <c r="G89" s="998">
        <v>3</v>
      </c>
      <c r="H89" s="999">
        <v>4</v>
      </c>
      <c r="I89" s="229"/>
    </row>
    <row r="90" spans="1:9" ht="13.8" x14ac:dyDescent="0.25">
      <c r="A90" s="182" t="s">
        <v>628</v>
      </c>
      <c r="B90" s="263"/>
      <c r="C90" s="263"/>
      <c r="D90" s="263"/>
      <c r="E90" s="263">
        <f t="shared" ref="E90:H91" si="30">ROUND((+E101*1.01),2)</f>
        <v>27.98</v>
      </c>
      <c r="F90" s="263">
        <f t="shared" si="30"/>
        <v>29.11</v>
      </c>
      <c r="G90" s="263">
        <f t="shared" si="30"/>
        <v>30.27</v>
      </c>
      <c r="H90" s="264">
        <f t="shared" si="30"/>
        <v>31.47</v>
      </c>
      <c r="I90" s="229"/>
    </row>
    <row r="91" spans="1:9" ht="13.8" x14ac:dyDescent="0.25">
      <c r="A91" s="183" t="s">
        <v>627</v>
      </c>
      <c r="B91" s="265"/>
      <c r="C91" s="265"/>
      <c r="D91" s="265"/>
      <c r="E91" s="265">
        <f t="shared" si="30"/>
        <v>31.07</v>
      </c>
      <c r="F91" s="265">
        <f t="shared" si="30"/>
        <v>32.31</v>
      </c>
      <c r="G91" s="265">
        <f t="shared" si="30"/>
        <v>33.6</v>
      </c>
      <c r="H91" s="266">
        <f t="shared" si="30"/>
        <v>34.950000000000003</v>
      </c>
      <c r="I91" s="229"/>
    </row>
    <row r="93" spans="1:9" ht="18" x14ac:dyDescent="0.35">
      <c r="A93" s="1158" t="s">
        <v>715</v>
      </c>
      <c r="B93" s="1158"/>
      <c r="C93" s="1158"/>
      <c r="D93" s="1158"/>
      <c r="E93" s="1158"/>
      <c r="F93" s="1158"/>
      <c r="G93" s="1158"/>
      <c r="H93" s="1158"/>
      <c r="I93" s="1158"/>
    </row>
    <row r="94" spans="1:9" s="138" customFormat="1" ht="15.6" x14ac:dyDescent="0.3">
      <c r="A94" s="1159" t="s">
        <v>754</v>
      </c>
      <c r="B94" s="1159"/>
      <c r="C94" s="1159"/>
      <c r="D94" s="1159"/>
      <c r="E94" s="1159"/>
      <c r="F94" s="1159"/>
      <c r="G94" s="1159"/>
      <c r="H94" s="1159"/>
    </row>
    <row r="95" spans="1:9" s="138" customFormat="1" x14ac:dyDescent="0.25">
      <c r="A95" s="267" t="s">
        <v>743</v>
      </c>
      <c r="B95" s="179"/>
      <c r="C95" s="179"/>
      <c r="D95" s="179"/>
      <c r="E95" s="179"/>
      <c r="F95" s="179"/>
      <c r="G95" s="179"/>
      <c r="H95" s="191"/>
      <c r="I95" s="268"/>
    </row>
    <row r="96" spans="1:9" s="138" customFormat="1" x14ac:dyDescent="0.25">
      <c r="A96" s="262" t="s">
        <v>33</v>
      </c>
      <c r="H96" s="259"/>
      <c r="I96" s="229"/>
    </row>
    <row r="97" spans="1:9" s="138" customFormat="1" x14ac:dyDescent="0.25">
      <c r="A97" s="182" t="s">
        <v>741</v>
      </c>
      <c r="B97" s="996">
        <v>1</v>
      </c>
      <c r="C97" s="996">
        <v>2</v>
      </c>
      <c r="D97" s="996">
        <v>3</v>
      </c>
      <c r="E97" s="996">
        <v>4</v>
      </c>
      <c r="F97" s="996">
        <v>5</v>
      </c>
      <c r="G97" s="996">
        <v>6</v>
      </c>
      <c r="H97" s="1000">
        <v>7</v>
      </c>
      <c r="I97" s="229"/>
    </row>
    <row r="98" spans="1:9" s="138" customFormat="1" ht="13.8" x14ac:dyDescent="0.25">
      <c r="A98" s="182" t="s">
        <v>742</v>
      </c>
      <c r="B98" s="263">
        <f t="shared" ref="B98:H99" si="31">ROUND((+B108*1.01),2)</f>
        <v>21.3</v>
      </c>
      <c r="C98" s="263">
        <f t="shared" si="31"/>
        <v>22.15</v>
      </c>
      <c r="D98" s="263">
        <f t="shared" si="31"/>
        <v>23.04</v>
      </c>
      <c r="E98" s="263">
        <f t="shared" si="31"/>
        <v>23.96</v>
      </c>
      <c r="F98" s="263">
        <f t="shared" si="31"/>
        <v>24.92</v>
      </c>
      <c r="G98" s="263">
        <f t="shared" si="31"/>
        <v>25.92</v>
      </c>
      <c r="H98" s="264">
        <f t="shared" si="31"/>
        <v>26.95</v>
      </c>
      <c r="I98" s="229"/>
    </row>
    <row r="99" spans="1:9" s="138" customFormat="1" ht="13.8" x14ac:dyDescent="0.25">
      <c r="A99" s="182" t="s">
        <v>629</v>
      </c>
      <c r="B99" s="263">
        <f t="shared" si="31"/>
        <v>23.09</v>
      </c>
      <c r="C99" s="263">
        <f t="shared" si="31"/>
        <v>24.01</v>
      </c>
      <c r="D99" s="263">
        <f t="shared" si="31"/>
        <v>24.97</v>
      </c>
      <c r="E99" s="263">
        <f t="shared" si="31"/>
        <v>25.97</v>
      </c>
      <c r="F99" s="263">
        <f t="shared" si="31"/>
        <v>27.01</v>
      </c>
      <c r="G99" s="263">
        <f t="shared" si="31"/>
        <v>28.09</v>
      </c>
      <c r="H99" s="264">
        <f t="shared" si="31"/>
        <v>29.21</v>
      </c>
      <c r="I99" s="229"/>
    </row>
    <row r="100" spans="1:9" s="138" customFormat="1" ht="13.8" x14ac:dyDescent="0.25">
      <c r="A100" s="182" t="s">
        <v>741</v>
      </c>
      <c r="B100" s="263"/>
      <c r="C100" s="263"/>
      <c r="D100" s="263"/>
      <c r="E100" s="260">
        <v>1</v>
      </c>
      <c r="F100" s="260">
        <v>2</v>
      </c>
      <c r="G100" s="260">
        <v>3</v>
      </c>
      <c r="H100" s="261">
        <v>4</v>
      </c>
      <c r="I100" s="229"/>
    </row>
    <row r="101" spans="1:9" s="138" customFormat="1" ht="13.8" x14ac:dyDescent="0.25">
      <c r="A101" s="182" t="s">
        <v>628</v>
      </c>
      <c r="B101" s="263"/>
      <c r="C101" s="263"/>
      <c r="D101" s="263"/>
      <c r="E101" s="263">
        <f t="shared" ref="E101:H102" si="32">ROUND((+E111*1.01),2)</f>
        <v>27.7</v>
      </c>
      <c r="F101" s="263">
        <f t="shared" si="32"/>
        <v>28.82</v>
      </c>
      <c r="G101" s="263">
        <f t="shared" si="32"/>
        <v>29.97</v>
      </c>
      <c r="H101" s="264">
        <f t="shared" si="32"/>
        <v>31.16</v>
      </c>
      <c r="I101" s="229"/>
    </row>
    <row r="102" spans="1:9" s="138" customFormat="1" ht="13.8" x14ac:dyDescent="0.25">
      <c r="A102" s="183" t="s">
        <v>627</v>
      </c>
      <c r="B102" s="265"/>
      <c r="C102" s="265"/>
      <c r="D102" s="265"/>
      <c r="E102" s="265">
        <f t="shared" si="32"/>
        <v>30.76</v>
      </c>
      <c r="F102" s="265">
        <f t="shared" si="32"/>
        <v>31.99</v>
      </c>
      <c r="G102" s="265">
        <f t="shared" si="32"/>
        <v>33.270000000000003</v>
      </c>
      <c r="H102" s="266">
        <f t="shared" si="32"/>
        <v>34.6</v>
      </c>
      <c r="I102" s="229"/>
    </row>
    <row r="103" spans="1:9" s="138" customFormat="1" x14ac:dyDescent="0.25">
      <c r="A103" s="269"/>
      <c r="B103" s="229"/>
      <c r="C103" s="229"/>
      <c r="D103" s="229"/>
      <c r="E103" s="229"/>
      <c r="F103" s="229"/>
      <c r="G103" s="229"/>
      <c r="H103" s="229"/>
      <c r="I103" s="229"/>
    </row>
    <row r="104" spans="1:9" s="138" customFormat="1" x14ac:dyDescent="0.25"/>
    <row r="105" spans="1:9" x14ac:dyDescent="0.25">
      <c r="A105" s="121" t="s">
        <v>752</v>
      </c>
      <c r="B105" s="120"/>
      <c r="C105" s="120"/>
      <c r="D105" s="120"/>
      <c r="E105" s="120"/>
      <c r="F105" s="120"/>
      <c r="G105" s="120"/>
      <c r="H105" s="120"/>
    </row>
    <row r="106" spans="1:9" x14ac:dyDescent="0.25">
      <c r="A106" s="270" t="s">
        <v>33</v>
      </c>
      <c r="B106" s="271"/>
      <c r="C106" s="271"/>
      <c r="D106" s="271"/>
      <c r="E106" s="271"/>
      <c r="F106" s="271"/>
      <c r="G106" s="271"/>
      <c r="H106" s="272"/>
    </row>
    <row r="107" spans="1:9" x14ac:dyDescent="0.25">
      <c r="A107" s="182" t="s">
        <v>741</v>
      </c>
      <c r="B107" s="996">
        <v>1</v>
      </c>
      <c r="C107" s="996">
        <v>2</v>
      </c>
      <c r="D107" s="996">
        <v>3</v>
      </c>
      <c r="E107" s="996">
        <v>4</v>
      </c>
      <c r="F107" s="996">
        <v>5</v>
      </c>
      <c r="G107" s="996">
        <v>6</v>
      </c>
      <c r="H107" s="1000">
        <v>7</v>
      </c>
    </row>
    <row r="108" spans="1:9" ht="13.8" x14ac:dyDescent="0.25">
      <c r="A108" s="182" t="s">
        <v>742</v>
      </c>
      <c r="B108" s="263">
        <v>21.09</v>
      </c>
      <c r="C108" s="263">
        <v>21.93</v>
      </c>
      <c r="D108" s="263">
        <v>22.81</v>
      </c>
      <c r="E108" s="263">
        <v>23.72</v>
      </c>
      <c r="F108" s="263">
        <v>24.67</v>
      </c>
      <c r="G108" s="263">
        <v>25.66</v>
      </c>
      <c r="H108" s="264">
        <v>26.68</v>
      </c>
    </row>
    <row r="109" spans="1:9" ht="13.8" x14ac:dyDescent="0.25">
      <c r="A109" s="182" t="s">
        <v>629</v>
      </c>
      <c r="B109" s="263">
        <v>22.86</v>
      </c>
      <c r="C109" s="263">
        <v>23.77</v>
      </c>
      <c r="D109" s="263">
        <v>24.72</v>
      </c>
      <c r="E109" s="263">
        <v>25.71</v>
      </c>
      <c r="F109" s="263">
        <v>26.74</v>
      </c>
      <c r="G109" s="263">
        <v>27.81</v>
      </c>
      <c r="H109" s="264">
        <v>28.92</v>
      </c>
    </row>
    <row r="110" spans="1:9" ht="13.8" x14ac:dyDescent="0.25">
      <c r="A110" s="182" t="s">
        <v>741</v>
      </c>
      <c r="B110" s="263"/>
      <c r="C110" s="263"/>
      <c r="D110" s="263"/>
      <c r="E110" s="998">
        <v>1</v>
      </c>
      <c r="F110" s="998">
        <v>2</v>
      </c>
      <c r="G110" s="998">
        <v>3</v>
      </c>
      <c r="H110" s="999">
        <v>4</v>
      </c>
    </row>
    <row r="111" spans="1:9" ht="13.8" x14ac:dyDescent="0.25">
      <c r="A111" s="182" t="s">
        <v>628</v>
      </c>
      <c r="B111" s="263"/>
      <c r="C111" s="263"/>
      <c r="D111" s="263"/>
      <c r="E111" s="263">
        <v>27.43</v>
      </c>
      <c r="F111" s="263">
        <v>28.53</v>
      </c>
      <c r="G111" s="263">
        <v>29.67</v>
      </c>
      <c r="H111" s="264">
        <v>30.85</v>
      </c>
    </row>
    <row r="112" spans="1:9" ht="13.8" x14ac:dyDescent="0.25">
      <c r="A112" s="183" t="s">
        <v>627</v>
      </c>
      <c r="B112" s="265"/>
      <c r="C112" s="265"/>
      <c r="D112" s="265"/>
      <c r="E112" s="265">
        <v>30.46</v>
      </c>
      <c r="F112" s="265">
        <v>31.67</v>
      </c>
      <c r="G112" s="265">
        <v>32.94</v>
      </c>
      <c r="H112" s="266">
        <v>34.26</v>
      </c>
    </row>
    <row r="115" spans="1:8" x14ac:dyDescent="0.25">
      <c r="A115" s="80" t="s">
        <v>753</v>
      </c>
    </row>
    <row r="116" spans="1:8" x14ac:dyDescent="0.25">
      <c r="A116" s="262" t="s">
        <v>33</v>
      </c>
      <c r="B116" s="138"/>
      <c r="C116" s="138"/>
      <c r="D116" s="138"/>
      <c r="E116" s="138"/>
      <c r="F116" s="138"/>
      <c r="G116" s="138"/>
      <c r="H116" s="259"/>
    </row>
    <row r="117" spans="1:8" x14ac:dyDescent="0.25">
      <c r="A117" s="182" t="s">
        <v>741</v>
      </c>
      <c r="B117" s="996">
        <v>1</v>
      </c>
      <c r="C117" s="996">
        <v>2</v>
      </c>
      <c r="D117" s="996">
        <v>3</v>
      </c>
      <c r="E117" s="996">
        <v>4</v>
      </c>
      <c r="F117" s="996">
        <v>5</v>
      </c>
      <c r="G117" s="996">
        <v>6</v>
      </c>
      <c r="H117" s="1000">
        <v>7</v>
      </c>
    </row>
    <row r="118" spans="1:8" ht="13.8" x14ac:dyDescent="0.25">
      <c r="A118" s="182" t="s">
        <v>742</v>
      </c>
      <c r="B118" s="263">
        <f>ROUND((+B98*1.01),2)</f>
        <v>21.51</v>
      </c>
      <c r="C118" s="263">
        <f t="shared" ref="C118:H118" si="33">ROUND((+C98*1.01),2)</f>
        <v>22.37</v>
      </c>
      <c r="D118" s="263">
        <f t="shared" si="33"/>
        <v>23.27</v>
      </c>
      <c r="E118" s="263">
        <f t="shared" si="33"/>
        <v>24.2</v>
      </c>
      <c r="F118" s="263">
        <f t="shared" si="33"/>
        <v>25.17</v>
      </c>
      <c r="G118" s="263">
        <f t="shared" si="33"/>
        <v>26.18</v>
      </c>
      <c r="H118" s="264">
        <f t="shared" si="33"/>
        <v>27.22</v>
      </c>
    </row>
    <row r="119" spans="1:8" ht="13.8" x14ac:dyDescent="0.25">
      <c r="A119" s="182" t="s">
        <v>629</v>
      </c>
      <c r="B119" s="263">
        <f>ROUND((+B99*1.01),2)</f>
        <v>23.32</v>
      </c>
      <c r="C119" s="263">
        <f t="shared" ref="C119:H119" si="34">ROUND((+C99*1.01),2)</f>
        <v>24.25</v>
      </c>
      <c r="D119" s="263">
        <f t="shared" si="34"/>
        <v>25.22</v>
      </c>
      <c r="E119" s="263">
        <f t="shared" si="34"/>
        <v>26.23</v>
      </c>
      <c r="F119" s="263">
        <f t="shared" si="34"/>
        <v>27.28</v>
      </c>
      <c r="G119" s="263">
        <f t="shared" si="34"/>
        <v>28.37</v>
      </c>
      <c r="H119" s="264">
        <f t="shared" si="34"/>
        <v>29.5</v>
      </c>
    </row>
    <row r="120" spans="1:8" ht="13.8" x14ac:dyDescent="0.25">
      <c r="A120" s="182" t="s">
        <v>741</v>
      </c>
      <c r="B120" s="263"/>
      <c r="C120" s="263"/>
      <c r="D120" s="263"/>
      <c r="E120" s="998">
        <v>1</v>
      </c>
      <c r="F120" s="998">
        <v>2</v>
      </c>
      <c r="G120" s="998">
        <v>3</v>
      </c>
      <c r="H120" s="999">
        <v>4</v>
      </c>
    </row>
    <row r="121" spans="1:8" ht="13.8" x14ac:dyDescent="0.25">
      <c r="A121" s="182" t="s">
        <v>628</v>
      </c>
      <c r="B121" s="263"/>
      <c r="C121" s="263"/>
      <c r="D121" s="263"/>
      <c r="E121" s="263">
        <f t="shared" ref="E121:H122" si="35">ROUND((+E101*1.01),2)</f>
        <v>27.98</v>
      </c>
      <c r="F121" s="263">
        <f t="shared" si="35"/>
        <v>29.11</v>
      </c>
      <c r="G121" s="263">
        <f t="shared" si="35"/>
        <v>30.27</v>
      </c>
      <c r="H121" s="264">
        <f t="shared" si="35"/>
        <v>31.47</v>
      </c>
    </row>
    <row r="122" spans="1:8" ht="13.8" x14ac:dyDescent="0.25">
      <c r="A122" s="183" t="s">
        <v>627</v>
      </c>
      <c r="B122" s="265"/>
      <c r="C122" s="265"/>
      <c r="D122" s="265"/>
      <c r="E122" s="265">
        <f t="shared" si="35"/>
        <v>31.07</v>
      </c>
      <c r="F122" s="265">
        <f t="shared" si="35"/>
        <v>32.31</v>
      </c>
      <c r="G122" s="265">
        <f t="shared" si="35"/>
        <v>33.6</v>
      </c>
      <c r="H122" s="266">
        <f t="shared" si="35"/>
        <v>34.950000000000003</v>
      </c>
    </row>
  </sheetData>
  <mergeCells count="12">
    <mergeCell ref="A93:I93"/>
    <mergeCell ref="A94:H94"/>
    <mergeCell ref="A1:I1"/>
    <mergeCell ref="A83:H83"/>
    <mergeCell ref="A62:H62"/>
    <mergeCell ref="A72:H72"/>
    <mergeCell ref="A32:H32"/>
    <mergeCell ref="A52:H52"/>
    <mergeCell ref="A42:H42"/>
    <mergeCell ref="A2:H2"/>
    <mergeCell ref="A22:H22"/>
    <mergeCell ref="A12:H12"/>
  </mergeCells>
  <phoneticPr fontId="16" type="noConversion"/>
  <hyperlinks>
    <hyperlink ref="I2" location="'Table of Contents'!A1" display="TOC" xr:uid="{00000000-0004-0000-4000-000000000000}"/>
    <hyperlink ref="I12" location="'Table of Contents'!A1" display="TOC" xr:uid="{00000000-0004-0000-4000-000001000000}"/>
  </hyperlinks>
  <pageMargins left="0.75" right="0.75" top="1" bottom="1" header="0.5" footer="0.5"/>
  <pageSetup orientation="portrait" r:id="rId1"/>
  <headerFooter alignWithMargins="0">
    <oddFooter>&amp;L&amp;D &amp;T&amp;C&amp;F&amp;R&amp;A</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rgb="FF92D050"/>
  </sheetPr>
  <dimension ref="A1:K28"/>
  <sheetViews>
    <sheetView workbookViewId="0">
      <selection activeCell="C3" sqref="C3"/>
    </sheetView>
  </sheetViews>
  <sheetFormatPr defaultRowHeight="13.2" x14ac:dyDescent="0.25"/>
  <sheetData>
    <row r="1" spans="1:11" x14ac:dyDescent="0.25">
      <c r="A1" s="371" t="s">
        <v>1348</v>
      </c>
    </row>
    <row r="2" spans="1:11" x14ac:dyDescent="0.25">
      <c r="A2" s="411" t="s">
        <v>910</v>
      </c>
      <c r="B2" s="1003" t="s">
        <v>1609</v>
      </c>
      <c r="C2" s="1049">
        <v>0</v>
      </c>
    </row>
    <row r="3" spans="1:11" x14ac:dyDescent="0.25">
      <c r="B3" t="s">
        <v>741</v>
      </c>
    </row>
    <row r="4" spans="1:11" x14ac:dyDescent="0.25">
      <c r="A4" t="s">
        <v>744</v>
      </c>
      <c r="B4" s="946">
        <v>1</v>
      </c>
      <c r="C4" s="946">
        <v>2</v>
      </c>
      <c r="D4" s="946">
        <v>3</v>
      </c>
      <c r="E4" s="946">
        <v>4</v>
      </c>
      <c r="F4" s="946">
        <v>5</v>
      </c>
      <c r="G4" s="946">
        <v>6</v>
      </c>
      <c r="H4" s="946">
        <v>7</v>
      </c>
      <c r="I4" s="946">
        <v>8</v>
      </c>
      <c r="J4" s="946">
        <v>9</v>
      </c>
      <c r="K4" s="946">
        <v>10</v>
      </c>
    </row>
    <row r="5" spans="1:11" x14ac:dyDescent="0.25">
      <c r="A5" t="s">
        <v>50</v>
      </c>
      <c r="B5" s="1">
        <f>ROUND((+B15*(1+$C$2)),2)</f>
        <v>15.18</v>
      </c>
      <c r="C5" s="1">
        <f t="shared" ref="C5:K5" si="0">ROUND((+C15*(1+$C$2)),2)</f>
        <v>15.56</v>
      </c>
      <c r="D5" s="1">
        <f t="shared" si="0"/>
        <v>15.95</v>
      </c>
      <c r="E5" s="1">
        <f t="shared" si="0"/>
        <v>16.36</v>
      </c>
      <c r="F5" s="1">
        <f t="shared" si="0"/>
        <v>16.739999999999998</v>
      </c>
      <c r="G5" s="1">
        <f t="shared" si="0"/>
        <v>17.18</v>
      </c>
      <c r="H5" s="1">
        <f t="shared" si="0"/>
        <v>17.57</v>
      </c>
      <c r="I5" s="1">
        <f t="shared" si="0"/>
        <v>17.96</v>
      </c>
      <c r="J5" s="1">
        <f t="shared" si="0"/>
        <v>18.309999999999999</v>
      </c>
      <c r="K5" s="1">
        <f t="shared" si="0"/>
        <v>18.690000000000001</v>
      </c>
    </row>
    <row r="6" spans="1:11" x14ac:dyDescent="0.25">
      <c r="A6" t="s">
        <v>51</v>
      </c>
      <c r="B6" s="1">
        <f t="shared" ref="B6:K9" si="1">ROUND((+B16*(1+$C$2)),2)</f>
        <v>17.899999999999999</v>
      </c>
      <c r="C6" s="1">
        <f t="shared" si="1"/>
        <v>18.34</v>
      </c>
      <c r="D6" s="1">
        <f t="shared" si="1"/>
        <v>18.8</v>
      </c>
      <c r="E6" s="1">
        <f t="shared" si="1"/>
        <v>19.27</v>
      </c>
      <c r="F6" s="1">
        <f t="shared" si="1"/>
        <v>19.75</v>
      </c>
      <c r="G6" s="1">
        <f t="shared" si="1"/>
        <v>20.25</v>
      </c>
      <c r="H6" s="1">
        <f t="shared" si="1"/>
        <v>20.77</v>
      </c>
      <c r="I6" s="1">
        <f t="shared" si="1"/>
        <v>21.16</v>
      </c>
      <c r="J6" s="1">
        <f t="shared" si="1"/>
        <v>21.6</v>
      </c>
      <c r="K6" s="1">
        <f t="shared" si="1"/>
        <v>22.04</v>
      </c>
    </row>
    <row r="7" spans="1:11" x14ac:dyDescent="0.25">
      <c r="A7" t="s">
        <v>52</v>
      </c>
      <c r="B7" s="1">
        <f t="shared" si="1"/>
        <v>19.260000000000002</v>
      </c>
      <c r="C7" s="1">
        <f t="shared" si="1"/>
        <v>19.739999999999998</v>
      </c>
      <c r="D7" s="1">
        <f t="shared" si="1"/>
        <v>20.23</v>
      </c>
      <c r="E7" s="1">
        <f t="shared" si="1"/>
        <v>20.75</v>
      </c>
      <c r="F7" s="1">
        <f t="shared" si="1"/>
        <v>21.24</v>
      </c>
      <c r="G7" s="1">
        <f t="shared" si="1"/>
        <v>21.8</v>
      </c>
      <c r="H7" s="1">
        <f t="shared" si="1"/>
        <v>22.33</v>
      </c>
      <c r="I7" s="1">
        <f t="shared" si="1"/>
        <v>22.79</v>
      </c>
      <c r="J7" s="1">
        <f t="shared" si="1"/>
        <v>23.23</v>
      </c>
      <c r="K7" s="1">
        <f t="shared" si="1"/>
        <v>23.7</v>
      </c>
    </row>
    <row r="8" spans="1:11" x14ac:dyDescent="0.25">
      <c r="A8" t="s">
        <v>751</v>
      </c>
      <c r="B8" s="1">
        <f t="shared" si="1"/>
        <v>20.99</v>
      </c>
      <c r="C8" s="1">
        <f t="shared" si="1"/>
        <v>21.51</v>
      </c>
      <c r="D8" s="1">
        <f t="shared" si="1"/>
        <v>22.06</v>
      </c>
      <c r="E8" s="1">
        <f t="shared" si="1"/>
        <v>22.59</v>
      </c>
      <c r="F8" s="1">
        <f t="shared" si="1"/>
        <v>23.16</v>
      </c>
      <c r="G8" s="1">
        <f t="shared" si="1"/>
        <v>23.76</v>
      </c>
      <c r="H8" s="1">
        <f t="shared" si="1"/>
        <v>24.35</v>
      </c>
      <c r="I8" s="1">
        <f t="shared" si="1"/>
        <v>24.83</v>
      </c>
      <c r="J8" s="1">
        <f t="shared" si="1"/>
        <v>25.33</v>
      </c>
      <c r="K8" s="1">
        <f t="shared" si="1"/>
        <v>25.83</v>
      </c>
    </row>
    <row r="9" spans="1:11" x14ac:dyDescent="0.25">
      <c r="A9" t="s">
        <v>750</v>
      </c>
      <c r="B9" s="1">
        <f t="shared" si="1"/>
        <v>22.64</v>
      </c>
      <c r="C9" s="1">
        <f t="shared" si="1"/>
        <v>23.22</v>
      </c>
      <c r="D9" s="1">
        <f t="shared" si="1"/>
        <v>23.81</v>
      </c>
      <c r="E9" s="1">
        <f t="shared" si="1"/>
        <v>24.41</v>
      </c>
      <c r="F9" s="1">
        <f t="shared" si="1"/>
        <v>25.01</v>
      </c>
      <c r="G9" s="1">
        <f t="shared" si="1"/>
        <v>25.63</v>
      </c>
      <c r="H9" s="1">
        <f t="shared" si="1"/>
        <v>26.28</v>
      </c>
      <c r="I9" s="1">
        <f t="shared" si="1"/>
        <v>26.8</v>
      </c>
      <c r="J9" s="1">
        <f t="shared" si="1"/>
        <v>27.34</v>
      </c>
      <c r="K9" s="1">
        <f t="shared" si="1"/>
        <v>27.89</v>
      </c>
    </row>
    <row r="12" spans="1:11" x14ac:dyDescent="0.25">
      <c r="A12" t="s">
        <v>1336</v>
      </c>
      <c r="F12" t="s">
        <v>1335</v>
      </c>
    </row>
    <row r="13" spans="1:11" x14ac:dyDescent="0.25">
      <c r="B13" t="s">
        <v>741</v>
      </c>
    </row>
    <row r="14" spans="1:11" x14ac:dyDescent="0.25">
      <c r="A14" t="s">
        <v>744</v>
      </c>
      <c r="B14" s="946">
        <v>1</v>
      </c>
      <c r="C14" s="946">
        <v>2</v>
      </c>
      <c r="D14" s="946">
        <v>3</v>
      </c>
      <c r="E14" s="946">
        <v>4</v>
      </c>
      <c r="F14" s="946">
        <v>5</v>
      </c>
      <c r="G14" s="946">
        <v>6</v>
      </c>
      <c r="H14" s="946">
        <v>7</v>
      </c>
      <c r="I14" s="946">
        <v>8</v>
      </c>
      <c r="J14" s="946">
        <v>9</v>
      </c>
      <c r="K14" s="946">
        <v>10</v>
      </c>
    </row>
    <row r="15" spans="1:11" x14ac:dyDescent="0.25">
      <c r="A15" t="s">
        <v>50</v>
      </c>
      <c r="B15" s="1">
        <v>15.18</v>
      </c>
      <c r="C15" s="1">
        <v>15.56</v>
      </c>
      <c r="D15" s="1">
        <v>15.95</v>
      </c>
      <c r="E15" s="1">
        <v>16.36</v>
      </c>
      <c r="F15" s="1">
        <v>16.739999999999998</v>
      </c>
      <c r="G15" s="1">
        <v>17.18</v>
      </c>
      <c r="H15" s="1">
        <v>17.57</v>
      </c>
      <c r="I15" s="1">
        <v>17.96</v>
      </c>
      <c r="J15" s="1">
        <v>18.309999999999999</v>
      </c>
      <c r="K15" s="1">
        <v>18.690000000000001</v>
      </c>
    </row>
    <row r="16" spans="1:11" x14ac:dyDescent="0.25">
      <c r="A16" t="s">
        <v>51</v>
      </c>
      <c r="B16" s="1">
        <v>17.899999999999999</v>
      </c>
      <c r="C16" s="1">
        <v>18.34</v>
      </c>
      <c r="D16" s="1">
        <v>18.8</v>
      </c>
      <c r="E16" s="1">
        <v>19.27</v>
      </c>
      <c r="F16" s="1">
        <v>19.75</v>
      </c>
      <c r="G16" s="1">
        <v>20.25</v>
      </c>
      <c r="H16" s="1">
        <v>20.77</v>
      </c>
      <c r="I16" s="1">
        <v>21.16</v>
      </c>
      <c r="J16" s="1">
        <v>21.6</v>
      </c>
      <c r="K16" s="1">
        <v>22.04</v>
      </c>
    </row>
    <row r="17" spans="1:11" x14ac:dyDescent="0.25">
      <c r="A17" t="s">
        <v>52</v>
      </c>
      <c r="B17" s="1">
        <v>19.260000000000002</v>
      </c>
      <c r="C17" s="1">
        <v>19.739999999999998</v>
      </c>
      <c r="D17" s="1">
        <v>20.23</v>
      </c>
      <c r="E17" s="1">
        <v>20.75</v>
      </c>
      <c r="F17" s="1">
        <v>21.24</v>
      </c>
      <c r="G17" s="1">
        <v>21.8</v>
      </c>
      <c r="H17" s="1">
        <v>22.33</v>
      </c>
      <c r="I17" s="1">
        <v>22.79</v>
      </c>
      <c r="J17" s="1">
        <v>23.23</v>
      </c>
      <c r="K17" s="1">
        <v>23.7</v>
      </c>
    </row>
    <row r="18" spans="1:11" x14ac:dyDescent="0.25">
      <c r="A18" t="s">
        <v>751</v>
      </c>
      <c r="B18" s="1">
        <v>20.99</v>
      </c>
      <c r="C18" s="1">
        <v>21.51</v>
      </c>
      <c r="D18" s="1">
        <v>22.06</v>
      </c>
      <c r="E18" s="1">
        <v>22.59</v>
      </c>
      <c r="F18" s="1">
        <v>23.16</v>
      </c>
      <c r="G18" s="1">
        <v>23.76</v>
      </c>
      <c r="H18" s="1">
        <v>24.35</v>
      </c>
      <c r="I18" s="1">
        <v>24.83</v>
      </c>
      <c r="J18" s="1">
        <v>25.33</v>
      </c>
      <c r="K18" s="1">
        <v>25.83</v>
      </c>
    </row>
    <row r="19" spans="1:11" x14ac:dyDescent="0.25">
      <c r="A19" t="s">
        <v>750</v>
      </c>
      <c r="B19" s="1">
        <v>22.64</v>
      </c>
      <c r="C19" s="1">
        <v>23.22</v>
      </c>
      <c r="D19" s="1">
        <v>23.81</v>
      </c>
      <c r="E19" s="1">
        <v>24.41</v>
      </c>
      <c r="F19" s="1">
        <v>25.01</v>
      </c>
      <c r="G19" s="1">
        <v>25.63</v>
      </c>
      <c r="H19" s="1">
        <v>26.28</v>
      </c>
      <c r="I19" s="1">
        <v>26.8</v>
      </c>
      <c r="J19" s="1">
        <v>27.34</v>
      </c>
      <c r="K19" s="1">
        <v>27.89</v>
      </c>
    </row>
    <row r="21" spans="1:11" x14ac:dyDescent="0.25">
      <c r="A21" t="s">
        <v>908</v>
      </c>
      <c r="F21" t="s">
        <v>1335</v>
      </c>
    </row>
    <row r="22" spans="1:11" x14ac:dyDescent="0.25">
      <c r="B22" t="s">
        <v>741</v>
      </c>
    </row>
    <row r="23" spans="1:11" x14ac:dyDescent="0.25">
      <c r="A23" t="s">
        <v>744</v>
      </c>
      <c r="B23" s="946">
        <v>1</v>
      </c>
      <c r="C23" s="946">
        <v>2</v>
      </c>
      <c r="D23" s="946">
        <v>3</v>
      </c>
      <c r="E23" s="946">
        <v>4</v>
      </c>
      <c r="F23" s="946">
        <v>5</v>
      </c>
      <c r="G23" s="946">
        <v>6</v>
      </c>
      <c r="H23" s="946">
        <v>7</v>
      </c>
      <c r="I23" s="946">
        <v>8</v>
      </c>
      <c r="J23" s="946">
        <v>9</v>
      </c>
      <c r="K23" s="946">
        <v>10</v>
      </c>
    </row>
    <row r="24" spans="1:11" x14ac:dyDescent="0.25">
      <c r="A24" t="s">
        <v>50</v>
      </c>
      <c r="B24" s="1">
        <v>14.96</v>
      </c>
      <c r="C24" s="1">
        <v>15.33</v>
      </c>
      <c r="D24" s="1">
        <v>15.71</v>
      </c>
      <c r="E24" s="1">
        <v>16.12</v>
      </c>
      <c r="F24" s="1">
        <v>16.489999999999998</v>
      </c>
      <c r="G24" s="1">
        <v>16.93</v>
      </c>
      <c r="H24" s="1">
        <v>17.309999999999999</v>
      </c>
      <c r="I24" s="1">
        <v>17.690000000000001</v>
      </c>
      <c r="J24" s="1">
        <v>18.04</v>
      </c>
      <c r="K24" s="1">
        <v>18.41</v>
      </c>
    </row>
    <row r="25" spans="1:11" x14ac:dyDescent="0.25">
      <c r="A25" t="s">
        <v>51</v>
      </c>
      <c r="B25" s="1">
        <v>17.64</v>
      </c>
      <c r="C25" s="1">
        <v>18.07</v>
      </c>
      <c r="D25" s="1">
        <v>18.52</v>
      </c>
      <c r="E25" s="1">
        <v>18.989999999999998</v>
      </c>
      <c r="F25" s="1">
        <v>19.46</v>
      </c>
      <c r="G25" s="1">
        <v>19.95</v>
      </c>
      <c r="H25" s="1">
        <v>20.46</v>
      </c>
      <c r="I25" s="1">
        <v>20.85</v>
      </c>
      <c r="J25" s="1">
        <v>21.28</v>
      </c>
      <c r="K25" s="1">
        <v>21.71</v>
      </c>
    </row>
    <row r="26" spans="1:11" x14ac:dyDescent="0.25">
      <c r="A26" t="s">
        <v>52</v>
      </c>
      <c r="B26" s="1">
        <v>18.98</v>
      </c>
      <c r="C26" s="1">
        <v>19.45</v>
      </c>
      <c r="D26" s="1">
        <v>19.93</v>
      </c>
      <c r="E26" s="1">
        <v>20.440000000000001</v>
      </c>
      <c r="F26" s="1">
        <v>20.93</v>
      </c>
      <c r="G26" s="1">
        <v>21.48</v>
      </c>
      <c r="H26" s="1">
        <v>22</v>
      </c>
      <c r="I26" s="1">
        <v>22.45</v>
      </c>
      <c r="J26" s="1">
        <v>22.89</v>
      </c>
      <c r="K26" s="1">
        <v>23.35</v>
      </c>
    </row>
    <row r="27" spans="1:11" x14ac:dyDescent="0.25">
      <c r="A27" t="s">
        <v>751</v>
      </c>
      <c r="B27" s="1">
        <v>20.68</v>
      </c>
      <c r="C27" s="1">
        <v>21.19</v>
      </c>
      <c r="D27" s="1">
        <v>21.73</v>
      </c>
      <c r="E27" s="1">
        <v>22.26</v>
      </c>
      <c r="F27" s="1">
        <v>22.82</v>
      </c>
      <c r="G27" s="1">
        <v>23.41</v>
      </c>
      <c r="H27" s="1">
        <v>23.99</v>
      </c>
      <c r="I27" s="1">
        <v>24.46</v>
      </c>
      <c r="J27" s="1">
        <v>24.96</v>
      </c>
      <c r="K27" s="1">
        <v>25.45</v>
      </c>
    </row>
    <row r="28" spans="1:11" x14ac:dyDescent="0.25">
      <c r="A28" t="s">
        <v>750</v>
      </c>
      <c r="B28" s="1">
        <v>22.31</v>
      </c>
      <c r="C28" s="1">
        <v>22.88</v>
      </c>
      <c r="D28" s="1">
        <v>23.46</v>
      </c>
      <c r="E28" s="1">
        <v>24.05</v>
      </c>
      <c r="F28" s="1">
        <v>24.64</v>
      </c>
      <c r="G28" s="1">
        <v>25.25</v>
      </c>
      <c r="H28" s="1">
        <v>25.89</v>
      </c>
      <c r="I28" s="1">
        <v>26.4</v>
      </c>
      <c r="J28" s="1">
        <v>26.94</v>
      </c>
      <c r="K28" s="1">
        <v>27.48</v>
      </c>
    </row>
  </sheetData>
  <hyperlinks>
    <hyperlink ref="A1" location="'Table of Contents'!A1" display="TOC" xr:uid="{00000000-0004-0000-4100-000000000000}"/>
  </hyperlinks>
  <pageMargins left="0.7" right="0.7" top="0.75" bottom="0.75" header="0.3" footer="0.3"/>
  <pageSetup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92D050"/>
    <pageSetUpPr fitToPage="1"/>
  </sheetPr>
  <dimension ref="A1:O203"/>
  <sheetViews>
    <sheetView workbookViewId="0">
      <selection activeCell="E20" sqref="E20"/>
    </sheetView>
  </sheetViews>
  <sheetFormatPr defaultRowHeight="13.2" x14ac:dyDescent="0.25"/>
  <cols>
    <col min="1" max="1" width="10.109375" style="140" customWidth="1"/>
    <col min="2" max="2" width="9.44140625" customWidth="1"/>
    <col min="3" max="3" width="9.6640625" customWidth="1"/>
    <col min="4" max="11" width="9.44140625" bestFit="1" customWidth="1"/>
    <col min="12" max="12" width="8.6640625" customWidth="1"/>
    <col min="13" max="13" width="12.77734375" customWidth="1"/>
  </cols>
  <sheetData>
    <row r="1" spans="1:12" x14ac:dyDescent="0.25">
      <c r="A1" s="1006" t="s">
        <v>1647</v>
      </c>
      <c r="B1" s="411"/>
      <c r="C1" s="411"/>
      <c r="D1" s="411"/>
      <c r="E1" s="1050">
        <v>0</v>
      </c>
      <c r="G1" s="371" t="s">
        <v>1348</v>
      </c>
    </row>
    <row r="2" spans="1:12" x14ac:dyDescent="0.25">
      <c r="B2" s="80" t="s">
        <v>741</v>
      </c>
    </row>
    <row r="3" spans="1:12" x14ac:dyDescent="0.25">
      <c r="A3" s="273" t="s">
        <v>744</v>
      </c>
      <c r="B3" s="947">
        <v>1</v>
      </c>
      <c r="C3" s="947">
        <v>2</v>
      </c>
      <c r="D3" s="947">
        <v>3</v>
      </c>
      <c r="E3" s="947">
        <v>4</v>
      </c>
      <c r="F3" s="947">
        <v>5</v>
      </c>
      <c r="G3" s="947">
        <v>6</v>
      </c>
      <c r="H3" s="947">
        <v>7</v>
      </c>
      <c r="I3" s="947">
        <v>8</v>
      </c>
      <c r="J3" s="947">
        <v>9</v>
      </c>
      <c r="K3" s="947">
        <v>10</v>
      </c>
      <c r="L3" s="948">
        <v>11</v>
      </c>
    </row>
    <row r="4" spans="1:12" x14ac:dyDescent="0.25">
      <c r="A4" s="274" t="s">
        <v>50</v>
      </c>
      <c r="B4" s="276"/>
      <c r="C4" s="276">
        <f>ROUND((+C26*(1+$E$1)),2)</f>
        <v>15.49</v>
      </c>
      <c r="D4" s="276">
        <f t="shared" ref="D4:L4" si="0">ROUND((+D26*(1+$E$1)),2)</f>
        <v>15.86</v>
      </c>
      <c r="E4" s="276">
        <f t="shared" si="0"/>
        <v>16.29</v>
      </c>
      <c r="F4" s="276">
        <f t="shared" si="0"/>
        <v>16.66</v>
      </c>
      <c r="G4" s="276">
        <f t="shared" si="0"/>
        <v>17.09</v>
      </c>
      <c r="H4" s="276">
        <f t="shared" si="0"/>
        <v>17.48</v>
      </c>
      <c r="I4" s="276">
        <f t="shared" si="0"/>
        <v>17.86</v>
      </c>
      <c r="J4" s="276">
        <f t="shared" si="0"/>
        <v>18.23</v>
      </c>
      <c r="K4" s="276">
        <f t="shared" si="0"/>
        <v>18.59</v>
      </c>
      <c r="L4" s="276">
        <f t="shared" si="0"/>
        <v>19.059999999999999</v>
      </c>
    </row>
    <row r="5" spans="1:12" x14ac:dyDescent="0.25">
      <c r="A5" s="274" t="s">
        <v>51</v>
      </c>
      <c r="B5" s="276"/>
      <c r="C5" s="276">
        <f t="shared" ref="C5:L5" si="1">ROUND((+C27*(1+$E$1)),2)</f>
        <v>18.260000000000002</v>
      </c>
      <c r="D5" s="276">
        <f t="shared" si="1"/>
        <v>18.71</v>
      </c>
      <c r="E5" s="276">
        <f t="shared" si="1"/>
        <v>19.170000000000002</v>
      </c>
      <c r="F5" s="276">
        <f t="shared" si="1"/>
        <v>19.66</v>
      </c>
      <c r="G5" s="276">
        <f t="shared" si="1"/>
        <v>20.149999999999999</v>
      </c>
      <c r="H5" s="276">
        <f t="shared" si="1"/>
        <v>20.67</v>
      </c>
      <c r="I5" s="276">
        <f t="shared" si="1"/>
        <v>21.06</v>
      </c>
      <c r="J5" s="276">
        <f t="shared" si="1"/>
        <v>21.5</v>
      </c>
      <c r="K5" s="276">
        <f t="shared" si="1"/>
        <v>21.92</v>
      </c>
      <c r="L5" s="276">
        <f t="shared" si="1"/>
        <v>22.47</v>
      </c>
    </row>
    <row r="6" spans="1:12" x14ac:dyDescent="0.25">
      <c r="A6" s="274" t="s">
        <v>52</v>
      </c>
      <c r="B6" s="276"/>
      <c r="C6" s="276">
        <f t="shared" ref="C6:L6" si="2">ROUND((+C28*(1+$E$1)),2)</f>
        <v>19.649999999999999</v>
      </c>
      <c r="D6" s="276">
        <f t="shared" si="2"/>
        <v>20.13</v>
      </c>
      <c r="E6" s="276">
        <f t="shared" si="2"/>
        <v>20.65</v>
      </c>
      <c r="F6" s="276">
        <f t="shared" si="2"/>
        <v>21.14</v>
      </c>
      <c r="G6" s="276">
        <f t="shared" si="2"/>
        <v>21.7</v>
      </c>
      <c r="H6" s="276">
        <f t="shared" si="2"/>
        <v>22.21</v>
      </c>
      <c r="I6" s="276">
        <f t="shared" si="2"/>
        <v>22.68</v>
      </c>
      <c r="J6" s="276">
        <f t="shared" si="2"/>
        <v>23.12</v>
      </c>
      <c r="K6" s="276">
        <f t="shared" si="2"/>
        <v>23.58</v>
      </c>
      <c r="L6" s="276">
        <f t="shared" si="2"/>
        <v>24.17</v>
      </c>
    </row>
    <row r="7" spans="1:12" x14ac:dyDescent="0.25">
      <c r="A7" s="274" t="s">
        <v>751</v>
      </c>
      <c r="B7" s="276"/>
      <c r="C7" s="276">
        <f t="shared" ref="C7:L7" si="3">ROUND((+C29*(1+$E$1)),2)</f>
        <v>21.41</v>
      </c>
      <c r="D7" s="276">
        <f t="shared" si="3"/>
        <v>21.94</v>
      </c>
      <c r="E7" s="276">
        <f t="shared" si="3"/>
        <v>22.49</v>
      </c>
      <c r="F7" s="276">
        <f t="shared" si="3"/>
        <v>23.05</v>
      </c>
      <c r="G7" s="276">
        <f t="shared" si="3"/>
        <v>23.64</v>
      </c>
      <c r="H7" s="276">
        <f t="shared" si="3"/>
        <v>24.23</v>
      </c>
      <c r="I7" s="276">
        <f t="shared" si="3"/>
        <v>24.71</v>
      </c>
      <c r="J7" s="276">
        <f t="shared" si="3"/>
        <v>25.21</v>
      </c>
      <c r="K7" s="276">
        <f t="shared" si="3"/>
        <v>25.7</v>
      </c>
      <c r="L7" s="276">
        <f t="shared" si="3"/>
        <v>26.34</v>
      </c>
    </row>
    <row r="8" spans="1:12" x14ac:dyDescent="0.25">
      <c r="A8" s="274" t="s">
        <v>750</v>
      </c>
      <c r="B8" s="276"/>
      <c r="C8" s="276">
        <f t="shared" ref="C8:L8" si="4">ROUND((+C30*(1+$E$1)),2)</f>
        <v>23.11</v>
      </c>
      <c r="D8" s="276">
        <f t="shared" si="4"/>
        <v>23.7</v>
      </c>
      <c r="E8" s="276">
        <f t="shared" si="4"/>
        <v>24.28</v>
      </c>
      <c r="F8" s="276">
        <f t="shared" si="4"/>
        <v>24.89</v>
      </c>
      <c r="G8" s="276">
        <f t="shared" si="4"/>
        <v>25.51</v>
      </c>
      <c r="H8" s="276">
        <f t="shared" si="4"/>
        <v>26.15</v>
      </c>
      <c r="I8" s="276">
        <f t="shared" si="4"/>
        <v>26.67</v>
      </c>
      <c r="J8" s="276">
        <f t="shared" si="4"/>
        <v>27.21</v>
      </c>
      <c r="K8" s="276">
        <f t="shared" si="4"/>
        <v>27.75</v>
      </c>
      <c r="L8" s="276">
        <f t="shared" si="4"/>
        <v>28.44</v>
      </c>
    </row>
    <row r="9" spans="1:12" x14ac:dyDescent="0.25">
      <c r="A9" s="274" t="s">
        <v>749</v>
      </c>
      <c r="B9" s="357"/>
      <c r="C9" s="692">
        <f>ROUND((+C31*(1+$E$1)),0)</f>
        <v>58508</v>
      </c>
      <c r="D9" s="692">
        <f t="shared" ref="D9:L10" si="5">ROUND((+D31*(1+$E$1)),0)</f>
        <v>59968</v>
      </c>
      <c r="E9" s="692">
        <f t="shared" si="5"/>
        <v>61468</v>
      </c>
      <c r="F9" s="692">
        <f t="shared" si="5"/>
        <v>63005</v>
      </c>
      <c r="G9" s="692">
        <f t="shared" si="5"/>
        <v>64581</v>
      </c>
      <c r="H9" s="692">
        <f t="shared" si="5"/>
        <v>65871</v>
      </c>
      <c r="I9" s="692">
        <f t="shared" si="5"/>
        <v>67190</v>
      </c>
      <c r="J9" s="692">
        <f t="shared" si="5"/>
        <v>68533</v>
      </c>
      <c r="K9" s="692">
        <f t="shared" si="5"/>
        <v>69903</v>
      </c>
      <c r="L9" s="692">
        <f t="shared" si="5"/>
        <v>71650</v>
      </c>
    </row>
    <row r="10" spans="1:12" x14ac:dyDescent="0.25">
      <c r="A10" s="274" t="s">
        <v>748</v>
      </c>
      <c r="B10" s="357"/>
      <c r="C10" s="692">
        <f>ROUND((+C32*(1+$E$1)),0)</f>
        <v>62170</v>
      </c>
      <c r="D10" s="692">
        <f t="shared" si="5"/>
        <v>63725</v>
      </c>
      <c r="E10" s="692">
        <f t="shared" si="5"/>
        <v>65317</v>
      </c>
      <c r="F10" s="692">
        <f t="shared" si="5"/>
        <v>66949</v>
      </c>
      <c r="G10" s="692">
        <f t="shared" si="5"/>
        <v>68624</v>
      </c>
      <c r="H10" s="692">
        <f t="shared" si="5"/>
        <v>69997</v>
      </c>
      <c r="I10" s="692">
        <f t="shared" si="5"/>
        <v>71396</v>
      </c>
      <c r="J10" s="692">
        <f t="shared" si="5"/>
        <v>72824</v>
      </c>
      <c r="K10" s="692">
        <f t="shared" si="5"/>
        <v>74282</v>
      </c>
      <c r="L10" s="692">
        <f t="shared" si="5"/>
        <v>76139</v>
      </c>
    </row>
    <row r="11" spans="1:12" x14ac:dyDescent="0.25">
      <c r="A11" s="344" t="s">
        <v>1232</v>
      </c>
      <c r="B11" s="657"/>
      <c r="C11" s="657"/>
      <c r="D11" s="657"/>
      <c r="E11" s="657"/>
      <c r="F11" s="657"/>
      <c r="G11" s="658">
        <f>+ROUND((((+G10*1.085)/$B$21)/37.69),2)</f>
        <v>37.85</v>
      </c>
      <c r="H11" s="658">
        <f t="shared" ref="H11:L11" si="6">+ROUND((((+H10*1.085)/$B$21)/37.69),2)</f>
        <v>38.6</v>
      </c>
      <c r="I11" s="658">
        <f t="shared" si="6"/>
        <v>39.369999999999997</v>
      </c>
      <c r="J11" s="658">
        <f t="shared" si="6"/>
        <v>40.159999999999997</v>
      </c>
      <c r="K11" s="658">
        <f t="shared" si="6"/>
        <v>40.97</v>
      </c>
      <c r="L11" s="658">
        <f t="shared" si="6"/>
        <v>41.99</v>
      </c>
    </row>
    <row r="12" spans="1:12" x14ac:dyDescent="0.25">
      <c r="A12" s="274" t="s">
        <v>747</v>
      </c>
      <c r="B12" s="357"/>
      <c r="C12" s="692">
        <f t="shared" ref="C12:L12" si="7">ROUND((+C34*(1+$E$1)),0)</f>
        <v>79022</v>
      </c>
      <c r="D12" s="692">
        <f t="shared" si="7"/>
        <v>80996</v>
      </c>
      <c r="E12" s="692">
        <f t="shared" si="7"/>
        <v>83024</v>
      </c>
      <c r="F12" s="692">
        <f t="shared" si="7"/>
        <v>85099</v>
      </c>
      <c r="G12" s="692">
        <f t="shared" si="7"/>
        <v>87227</v>
      </c>
      <c r="H12" s="692">
        <f t="shared" si="7"/>
        <v>89407</v>
      </c>
      <c r="I12" s="692">
        <f t="shared" si="7"/>
        <v>91196</v>
      </c>
      <c r="J12" s="692">
        <f t="shared" si="7"/>
        <v>93018</v>
      </c>
      <c r="K12" s="692">
        <f t="shared" si="7"/>
        <v>94878</v>
      </c>
      <c r="L12" s="692">
        <f t="shared" si="7"/>
        <v>97250</v>
      </c>
    </row>
    <row r="13" spans="1:12" x14ac:dyDescent="0.25">
      <c r="A13" s="274" t="s">
        <v>746</v>
      </c>
      <c r="B13" s="357"/>
      <c r="C13" s="692">
        <f t="shared" ref="C13:L13" si="8">ROUND((+C35*(1+$E$1)),0)</f>
        <v>86924</v>
      </c>
      <c r="D13" s="692">
        <f t="shared" si="8"/>
        <v>89098</v>
      </c>
      <c r="E13" s="692">
        <f t="shared" si="8"/>
        <v>91326</v>
      </c>
      <c r="F13" s="692">
        <f t="shared" si="8"/>
        <v>93607</v>
      </c>
      <c r="G13" s="692">
        <f t="shared" si="8"/>
        <v>95947</v>
      </c>
      <c r="H13" s="692">
        <f t="shared" si="8"/>
        <v>98345</v>
      </c>
      <c r="I13" s="692">
        <f t="shared" si="8"/>
        <v>100314</v>
      </c>
      <c r="J13" s="692">
        <f t="shared" si="8"/>
        <v>102319</v>
      </c>
      <c r="K13" s="692">
        <f t="shared" si="8"/>
        <v>104366</v>
      </c>
      <c r="L13" s="692">
        <f t="shared" si="8"/>
        <v>106976</v>
      </c>
    </row>
    <row r="14" spans="1:12" x14ac:dyDescent="0.25">
      <c r="A14" s="274" t="s">
        <v>745</v>
      </c>
      <c r="B14" s="357"/>
      <c r="C14" s="692">
        <f t="shared" ref="C14:L14" si="9">ROUND((+C36*(1+$E$1)),0)</f>
        <v>95616</v>
      </c>
      <c r="D14" s="692">
        <f t="shared" si="9"/>
        <v>98008</v>
      </c>
      <c r="E14" s="692">
        <f t="shared" si="9"/>
        <v>100458</v>
      </c>
      <c r="F14" s="692">
        <f t="shared" si="9"/>
        <v>102969</v>
      </c>
      <c r="G14" s="692">
        <f t="shared" si="9"/>
        <v>105544</v>
      </c>
      <c r="H14" s="692">
        <f t="shared" si="9"/>
        <v>108182</v>
      </c>
      <c r="I14" s="692">
        <f t="shared" si="9"/>
        <v>110344</v>
      </c>
      <c r="J14" s="692">
        <f t="shared" si="9"/>
        <v>112552</v>
      </c>
      <c r="K14" s="692">
        <f t="shared" si="9"/>
        <v>114804</v>
      </c>
      <c r="L14" s="692">
        <f t="shared" si="9"/>
        <v>117673</v>
      </c>
    </row>
    <row r="16" spans="1:12" x14ac:dyDescent="0.25">
      <c r="A16" s="274" t="s">
        <v>33</v>
      </c>
      <c r="B16" s="334" t="s">
        <v>1234</v>
      </c>
      <c r="C16" s="120"/>
      <c r="D16" s="120"/>
      <c r="E16" s="120"/>
    </row>
    <row r="17" spans="1:13" x14ac:dyDescent="0.25">
      <c r="A17" s="273" t="s">
        <v>744</v>
      </c>
      <c r="B17" s="947">
        <v>1</v>
      </c>
      <c r="C17" s="947">
        <v>2</v>
      </c>
      <c r="D17" s="947">
        <v>3</v>
      </c>
      <c r="E17" s="947">
        <v>4</v>
      </c>
      <c r="F17" s="947">
        <v>5</v>
      </c>
      <c r="G17" s="947">
        <v>6</v>
      </c>
      <c r="H17" s="947">
        <v>7</v>
      </c>
      <c r="I17" s="947">
        <v>8</v>
      </c>
      <c r="J17" s="947">
        <v>9</v>
      </c>
      <c r="K17" s="947">
        <v>10</v>
      </c>
      <c r="L17" s="947">
        <v>11</v>
      </c>
      <c r="M17" t="s">
        <v>1610</v>
      </c>
    </row>
    <row r="18" spans="1:13" x14ac:dyDescent="0.25">
      <c r="A18" s="344" t="s">
        <v>894</v>
      </c>
      <c r="B18" s="1"/>
      <c r="C18" s="1">
        <f>ROUND((+C9/$M$18),2)</f>
        <v>32.020000000000003</v>
      </c>
      <c r="D18" s="1">
        <f t="shared" ref="D18:L18" si="10">ROUND((+D9/$M$18),2)</f>
        <v>32.82</v>
      </c>
      <c r="E18" s="1">
        <f t="shared" si="10"/>
        <v>33.64</v>
      </c>
      <c r="F18" s="1">
        <f t="shared" si="10"/>
        <v>34.49</v>
      </c>
      <c r="G18" s="1">
        <f t="shared" si="10"/>
        <v>35.35</v>
      </c>
      <c r="H18" s="1">
        <f t="shared" si="10"/>
        <v>36.049999999999997</v>
      </c>
      <c r="I18" s="1">
        <f t="shared" si="10"/>
        <v>36.78</v>
      </c>
      <c r="J18" s="1">
        <f t="shared" si="10"/>
        <v>37.51</v>
      </c>
      <c r="K18" s="1">
        <f t="shared" si="10"/>
        <v>38.26</v>
      </c>
      <c r="L18" s="1">
        <f t="shared" si="10"/>
        <v>39.22</v>
      </c>
      <c r="M18" s="885">
        <f>+'To Do and Changes'!E13</f>
        <v>1827</v>
      </c>
    </row>
    <row r="19" spans="1:13" x14ac:dyDescent="0.25">
      <c r="A19" s="344" t="s">
        <v>1029</v>
      </c>
      <c r="B19" s="1"/>
      <c r="C19" s="1">
        <f>ROUND((+C9/$M$19),2)</f>
        <v>28.13</v>
      </c>
      <c r="D19" s="1">
        <f t="shared" ref="D19:L19" si="11">ROUND((+D9/$M$19),2)</f>
        <v>28.83</v>
      </c>
      <c r="E19" s="1">
        <f t="shared" si="11"/>
        <v>29.55</v>
      </c>
      <c r="F19" s="1">
        <f t="shared" si="11"/>
        <v>30.29</v>
      </c>
      <c r="G19" s="1">
        <f t="shared" si="11"/>
        <v>31.05</v>
      </c>
      <c r="H19" s="1">
        <f t="shared" si="11"/>
        <v>31.67</v>
      </c>
      <c r="I19" s="1">
        <f t="shared" si="11"/>
        <v>32.299999999999997</v>
      </c>
      <c r="J19" s="1">
        <f t="shared" si="11"/>
        <v>32.950000000000003</v>
      </c>
      <c r="K19" s="1">
        <f t="shared" si="11"/>
        <v>33.61</v>
      </c>
      <c r="L19" s="1">
        <f t="shared" si="11"/>
        <v>34.450000000000003</v>
      </c>
      <c r="M19" s="885">
        <f>+'To Do and Changes'!E16</f>
        <v>2080</v>
      </c>
    </row>
    <row r="20" spans="1:13" x14ac:dyDescent="0.25">
      <c r="A20" s="344" t="s">
        <v>1030</v>
      </c>
      <c r="B20" s="1"/>
      <c r="C20" s="1">
        <f>ROUND((+C9/$M$20),2)</f>
        <v>28.02</v>
      </c>
      <c r="D20" s="1">
        <f t="shared" ref="D20:L20" si="12">ROUND((+D9/$M$20),2)</f>
        <v>28.72</v>
      </c>
      <c r="E20" s="1">
        <f t="shared" si="12"/>
        <v>29.44</v>
      </c>
      <c r="F20" s="1">
        <f t="shared" si="12"/>
        <v>30.17</v>
      </c>
      <c r="G20" s="1">
        <f t="shared" si="12"/>
        <v>30.93</v>
      </c>
      <c r="H20" s="1">
        <f t="shared" si="12"/>
        <v>31.55</v>
      </c>
      <c r="I20" s="1">
        <f t="shared" si="12"/>
        <v>32.18</v>
      </c>
      <c r="J20" s="1">
        <f t="shared" si="12"/>
        <v>32.82</v>
      </c>
      <c r="K20" s="1">
        <f t="shared" si="12"/>
        <v>33.479999999999997</v>
      </c>
      <c r="L20" s="1">
        <f t="shared" si="12"/>
        <v>34.32</v>
      </c>
      <c r="M20" s="885">
        <f>+'To Do and Changes'!E15</f>
        <v>2088</v>
      </c>
    </row>
    <row r="21" spans="1:13" x14ac:dyDescent="0.25">
      <c r="A21" s="140" t="s">
        <v>991</v>
      </c>
      <c r="B21" s="885">
        <v>52.2</v>
      </c>
      <c r="C21" s="240" t="s">
        <v>1233</v>
      </c>
      <c r="G21" s="68"/>
      <c r="H21" s="68"/>
      <c r="I21" s="68"/>
      <c r="J21" s="68"/>
      <c r="K21" s="68"/>
    </row>
    <row r="22" spans="1:13" x14ac:dyDescent="0.25">
      <c r="A22" s="356"/>
      <c r="G22" s="371"/>
    </row>
    <row r="23" spans="1:13" x14ac:dyDescent="0.25">
      <c r="A23" s="356" t="s">
        <v>1425</v>
      </c>
      <c r="G23" s="371"/>
    </row>
    <row r="24" spans="1:13" x14ac:dyDescent="0.25">
      <c r="B24" s="80" t="s">
        <v>741</v>
      </c>
    </row>
    <row r="25" spans="1:13" x14ac:dyDescent="0.25">
      <c r="A25" s="273" t="s">
        <v>744</v>
      </c>
      <c r="B25" s="947">
        <v>1</v>
      </c>
      <c r="C25" s="947">
        <v>2</v>
      </c>
      <c r="D25" s="947">
        <v>3</v>
      </c>
      <c r="E25" s="947">
        <v>4</v>
      </c>
      <c r="F25" s="947">
        <v>5</v>
      </c>
      <c r="G25" s="947">
        <v>6</v>
      </c>
      <c r="H25" s="947">
        <v>7</v>
      </c>
      <c r="I25" s="947">
        <v>8</v>
      </c>
      <c r="J25" s="947">
        <v>9</v>
      </c>
      <c r="K25" s="947">
        <v>10</v>
      </c>
      <c r="L25" s="948">
        <v>11</v>
      </c>
    </row>
    <row r="26" spans="1:13" x14ac:dyDescent="0.25">
      <c r="A26" s="274" t="s">
        <v>50</v>
      </c>
      <c r="B26" s="276"/>
      <c r="C26" s="276">
        <f>ROUND((+C48*1.015),2)</f>
        <v>15.49</v>
      </c>
      <c r="D26" s="276">
        <f t="shared" ref="D26:L26" si="13">ROUND((+D48*1.015),2)</f>
        <v>15.86</v>
      </c>
      <c r="E26" s="276">
        <f t="shared" si="13"/>
        <v>16.29</v>
      </c>
      <c r="F26" s="276">
        <f t="shared" si="13"/>
        <v>16.66</v>
      </c>
      <c r="G26" s="276">
        <f t="shared" si="13"/>
        <v>17.09</v>
      </c>
      <c r="H26" s="276">
        <f t="shared" si="13"/>
        <v>17.48</v>
      </c>
      <c r="I26" s="276">
        <f t="shared" si="13"/>
        <v>17.86</v>
      </c>
      <c r="J26" s="276">
        <f t="shared" si="13"/>
        <v>18.23</v>
      </c>
      <c r="K26" s="276">
        <f t="shared" si="13"/>
        <v>18.59</v>
      </c>
      <c r="L26" s="276">
        <f t="shared" si="13"/>
        <v>19.059999999999999</v>
      </c>
    </row>
    <row r="27" spans="1:13" x14ac:dyDescent="0.25">
      <c r="A27" s="274" t="s">
        <v>51</v>
      </c>
      <c r="B27" s="276"/>
      <c r="C27" s="276">
        <f t="shared" ref="C27:L27" si="14">ROUND((+C49*1.015),2)</f>
        <v>18.260000000000002</v>
      </c>
      <c r="D27" s="276">
        <f t="shared" si="14"/>
        <v>18.71</v>
      </c>
      <c r="E27" s="276">
        <f t="shared" si="14"/>
        <v>19.170000000000002</v>
      </c>
      <c r="F27" s="276">
        <f t="shared" si="14"/>
        <v>19.66</v>
      </c>
      <c r="G27" s="276">
        <f t="shared" si="14"/>
        <v>20.149999999999999</v>
      </c>
      <c r="H27" s="276">
        <f t="shared" si="14"/>
        <v>20.67</v>
      </c>
      <c r="I27" s="276">
        <f t="shared" si="14"/>
        <v>21.06</v>
      </c>
      <c r="J27" s="276">
        <f t="shared" si="14"/>
        <v>21.5</v>
      </c>
      <c r="K27" s="276">
        <f t="shared" si="14"/>
        <v>21.92</v>
      </c>
      <c r="L27" s="276">
        <f t="shared" si="14"/>
        <v>22.47</v>
      </c>
    </row>
    <row r="28" spans="1:13" x14ac:dyDescent="0.25">
      <c r="A28" s="274" t="s">
        <v>52</v>
      </c>
      <c r="B28" s="276"/>
      <c r="C28" s="276">
        <f t="shared" ref="C28:L28" si="15">ROUND((+C50*1.015),2)</f>
        <v>19.649999999999999</v>
      </c>
      <c r="D28" s="276">
        <f t="shared" si="15"/>
        <v>20.13</v>
      </c>
      <c r="E28" s="276">
        <f t="shared" si="15"/>
        <v>20.65</v>
      </c>
      <c r="F28" s="276">
        <f t="shared" si="15"/>
        <v>21.14</v>
      </c>
      <c r="G28" s="276">
        <f t="shared" si="15"/>
        <v>21.7</v>
      </c>
      <c r="H28" s="276">
        <f t="shared" si="15"/>
        <v>22.21</v>
      </c>
      <c r="I28" s="276">
        <f t="shared" si="15"/>
        <v>22.68</v>
      </c>
      <c r="J28" s="276">
        <f t="shared" si="15"/>
        <v>23.12</v>
      </c>
      <c r="K28" s="276">
        <f t="shared" si="15"/>
        <v>23.58</v>
      </c>
      <c r="L28" s="276">
        <f t="shared" si="15"/>
        <v>24.17</v>
      </c>
    </row>
    <row r="29" spans="1:13" x14ac:dyDescent="0.25">
      <c r="A29" s="274" t="s">
        <v>751</v>
      </c>
      <c r="B29" s="276"/>
      <c r="C29" s="276">
        <f t="shared" ref="C29:L29" si="16">ROUND((+C51*1.015),2)</f>
        <v>21.41</v>
      </c>
      <c r="D29" s="276">
        <f t="shared" si="16"/>
        <v>21.94</v>
      </c>
      <c r="E29" s="276">
        <f t="shared" si="16"/>
        <v>22.49</v>
      </c>
      <c r="F29" s="276">
        <f t="shared" si="16"/>
        <v>23.05</v>
      </c>
      <c r="G29" s="276">
        <f t="shared" si="16"/>
        <v>23.64</v>
      </c>
      <c r="H29" s="276">
        <f t="shared" si="16"/>
        <v>24.23</v>
      </c>
      <c r="I29" s="276">
        <f t="shared" si="16"/>
        <v>24.71</v>
      </c>
      <c r="J29" s="276">
        <f t="shared" si="16"/>
        <v>25.21</v>
      </c>
      <c r="K29" s="276">
        <f t="shared" si="16"/>
        <v>25.7</v>
      </c>
      <c r="L29" s="276">
        <f t="shared" si="16"/>
        <v>26.34</v>
      </c>
    </row>
    <row r="30" spans="1:13" x14ac:dyDescent="0.25">
      <c r="A30" s="274" t="s">
        <v>750</v>
      </c>
      <c r="B30" s="276"/>
      <c r="C30" s="276">
        <f t="shared" ref="C30:L30" si="17">ROUND((+C52*1.015),2)</f>
        <v>23.11</v>
      </c>
      <c r="D30" s="276">
        <f t="shared" si="17"/>
        <v>23.7</v>
      </c>
      <c r="E30" s="276">
        <f t="shared" si="17"/>
        <v>24.28</v>
      </c>
      <c r="F30" s="276">
        <f t="shared" si="17"/>
        <v>24.89</v>
      </c>
      <c r="G30" s="276">
        <f t="shared" si="17"/>
        <v>25.51</v>
      </c>
      <c r="H30" s="276">
        <f t="shared" si="17"/>
        <v>26.15</v>
      </c>
      <c r="I30" s="276">
        <f t="shared" si="17"/>
        <v>26.67</v>
      </c>
      <c r="J30" s="276">
        <f t="shared" si="17"/>
        <v>27.21</v>
      </c>
      <c r="K30" s="276">
        <f t="shared" si="17"/>
        <v>27.75</v>
      </c>
      <c r="L30" s="276">
        <f t="shared" si="17"/>
        <v>28.44</v>
      </c>
    </row>
    <row r="31" spans="1:13" x14ac:dyDescent="0.25">
      <c r="A31" s="274" t="s">
        <v>749</v>
      </c>
      <c r="B31" s="357"/>
      <c r="C31" s="692">
        <f>ROUND((+C53*1.015),0)</f>
        <v>58508</v>
      </c>
      <c r="D31" s="692">
        <f t="shared" ref="D31:L31" si="18">ROUND((+D53*1.015),0)</f>
        <v>59968</v>
      </c>
      <c r="E31" s="692">
        <f t="shared" si="18"/>
        <v>61468</v>
      </c>
      <c r="F31" s="692">
        <f t="shared" si="18"/>
        <v>63005</v>
      </c>
      <c r="G31" s="692">
        <f t="shared" si="18"/>
        <v>64581</v>
      </c>
      <c r="H31" s="692">
        <f t="shared" si="18"/>
        <v>65871</v>
      </c>
      <c r="I31" s="692">
        <f t="shared" si="18"/>
        <v>67190</v>
      </c>
      <c r="J31" s="692">
        <f t="shared" si="18"/>
        <v>68533</v>
      </c>
      <c r="K31" s="692">
        <f t="shared" si="18"/>
        <v>69903</v>
      </c>
      <c r="L31" s="692">
        <f t="shared" si="18"/>
        <v>71650</v>
      </c>
    </row>
    <row r="32" spans="1:13" x14ac:dyDescent="0.25">
      <c r="A32" s="274" t="s">
        <v>748</v>
      </c>
      <c r="B32" s="357"/>
      <c r="C32" s="692">
        <f>ROUND((+C54*1.015),0)</f>
        <v>62170</v>
      </c>
      <c r="D32" s="692">
        <f t="shared" ref="D32:L32" si="19">ROUND((+D54*1.015),0)</f>
        <v>63725</v>
      </c>
      <c r="E32" s="692">
        <f t="shared" si="19"/>
        <v>65317</v>
      </c>
      <c r="F32" s="692">
        <f t="shared" si="19"/>
        <v>66949</v>
      </c>
      <c r="G32" s="692">
        <f t="shared" si="19"/>
        <v>68624</v>
      </c>
      <c r="H32" s="692">
        <f t="shared" si="19"/>
        <v>69997</v>
      </c>
      <c r="I32" s="692">
        <f t="shared" si="19"/>
        <v>71396</v>
      </c>
      <c r="J32" s="692">
        <f t="shared" si="19"/>
        <v>72824</v>
      </c>
      <c r="K32" s="692">
        <f t="shared" si="19"/>
        <v>74282</v>
      </c>
      <c r="L32" s="692">
        <f t="shared" si="19"/>
        <v>76139</v>
      </c>
    </row>
    <row r="33" spans="1:13" x14ac:dyDescent="0.25">
      <c r="A33" s="344" t="s">
        <v>1232</v>
      </c>
      <c r="B33" s="657"/>
      <c r="C33" s="657"/>
      <c r="D33" s="657"/>
      <c r="E33" s="657"/>
      <c r="F33" s="657"/>
      <c r="G33" s="658">
        <f>+ROUND((((+G32*1.085)/$B$65)/37.69),2)</f>
        <v>37.85</v>
      </c>
      <c r="H33" s="658">
        <f t="shared" ref="H33:L33" si="20">+ROUND((((+H32*1.085)/$B$65)/37.69),2)</f>
        <v>38.6</v>
      </c>
      <c r="I33" s="658">
        <f t="shared" si="20"/>
        <v>39.369999999999997</v>
      </c>
      <c r="J33" s="658">
        <f t="shared" si="20"/>
        <v>40.159999999999997</v>
      </c>
      <c r="K33" s="658">
        <f t="shared" si="20"/>
        <v>40.97</v>
      </c>
      <c r="L33" s="658">
        <f t="shared" si="20"/>
        <v>41.99</v>
      </c>
    </row>
    <row r="34" spans="1:13" x14ac:dyDescent="0.25">
      <c r="A34" s="274" t="s">
        <v>747</v>
      </c>
      <c r="B34" s="357"/>
      <c r="C34" s="692">
        <f t="shared" ref="C34:L34" si="21">ROUND((+C56*1.015),0)</f>
        <v>79022</v>
      </c>
      <c r="D34" s="692">
        <f t="shared" si="21"/>
        <v>80996</v>
      </c>
      <c r="E34" s="692">
        <f t="shared" si="21"/>
        <v>83024</v>
      </c>
      <c r="F34" s="692">
        <f t="shared" si="21"/>
        <v>85099</v>
      </c>
      <c r="G34" s="692">
        <f t="shared" si="21"/>
        <v>87227</v>
      </c>
      <c r="H34" s="692">
        <f t="shared" si="21"/>
        <v>89407</v>
      </c>
      <c r="I34" s="692">
        <f t="shared" si="21"/>
        <v>91196</v>
      </c>
      <c r="J34" s="692">
        <f t="shared" si="21"/>
        <v>93018</v>
      </c>
      <c r="K34" s="692">
        <f t="shared" si="21"/>
        <v>94878</v>
      </c>
      <c r="L34" s="692">
        <f t="shared" si="21"/>
        <v>97250</v>
      </c>
    </row>
    <row r="35" spans="1:13" x14ac:dyDescent="0.25">
      <c r="A35" s="274" t="s">
        <v>746</v>
      </c>
      <c r="B35" s="357"/>
      <c r="C35" s="692">
        <f t="shared" ref="C35:L35" si="22">ROUND((+C57*1.015),0)</f>
        <v>86924</v>
      </c>
      <c r="D35" s="692">
        <f t="shared" si="22"/>
        <v>89098</v>
      </c>
      <c r="E35" s="692">
        <f t="shared" si="22"/>
        <v>91326</v>
      </c>
      <c r="F35" s="692">
        <f t="shared" si="22"/>
        <v>93607</v>
      </c>
      <c r="G35" s="692">
        <f t="shared" si="22"/>
        <v>95947</v>
      </c>
      <c r="H35" s="692">
        <f t="shared" si="22"/>
        <v>98345</v>
      </c>
      <c r="I35" s="692">
        <f t="shared" si="22"/>
        <v>100314</v>
      </c>
      <c r="J35" s="692">
        <f t="shared" si="22"/>
        <v>102319</v>
      </c>
      <c r="K35" s="692">
        <f t="shared" si="22"/>
        <v>104366</v>
      </c>
      <c r="L35" s="692">
        <f t="shared" si="22"/>
        <v>106976</v>
      </c>
    </row>
    <row r="36" spans="1:13" x14ac:dyDescent="0.25">
      <c r="A36" s="274" t="s">
        <v>745</v>
      </c>
      <c r="B36" s="357"/>
      <c r="C36" s="692">
        <f t="shared" ref="C36:L36" si="23">ROUND((+C58*1.015),0)</f>
        <v>95616</v>
      </c>
      <c r="D36" s="692">
        <f t="shared" si="23"/>
        <v>98008</v>
      </c>
      <c r="E36" s="692">
        <f t="shared" si="23"/>
        <v>100458</v>
      </c>
      <c r="F36" s="692">
        <f t="shared" si="23"/>
        <v>102969</v>
      </c>
      <c r="G36" s="692">
        <f t="shared" si="23"/>
        <v>105544</v>
      </c>
      <c r="H36" s="692">
        <f t="shared" si="23"/>
        <v>108182</v>
      </c>
      <c r="I36" s="692">
        <f t="shared" si="23"/>
        <v>110344</v>
      </c>
      <c r="J36" s="692">
        <f t="shared" si="23"/>
        <v>112552</v>
      </c>
      <c r="K36" s="692">
        <f t="shared" si="23"/>
        <v>114804</v>
      </c>
      <c r="L36" s="692">
        <f t="shared" si="23"/>
        <v>117673</v>
      </c>
    </row>
    <row r="38" spans="1:13" x14ac:dyDescent="0.25">
      <c r="A38" s="274" t="s">
        <v>33</v>
      </c>
      <c r="B38" s="334" t="s">
        <v>1234</v>
      </c>
      <c r="C38" s="120"/>
      <c r="D38" s="120"/>
      <c r="E38" s="120"/>
    </row>
    <row r="39" spans="1:13" x14ac:dyDescent="0.25">
      <c r="A39" s="273" t="s">
        <v>744</v>
      </c>
      <c r="B39" s="947">
        <v>1</v>
      </c>
      <c r="C39" s="947">
        <v>2</v>
      </c>
      <c r="D39" s="947">
        <v>3</v>
      </c>
      <c r="E39" s="947">
        <v>4</v>
      </c>
      <c r="F39" s="947">
        <v>5</v>
      </c>
      <c r="G39" s="947">
        <v>6</v>
      </c>
      <c r="H39" s="947">
        <v>7</v>
      </c>
      <c r="I39" s="947">
        <v>8</v>
      </c>
      <c r="J39" s="947">
        <v>9</v>
      </c>
      <c r="K39" s="947">
        <v>10</v>
      </c>
      <c r="L39" s="947">
        <v>11</v>
      </c>
      <c r="M39" t="s">
        <v>1610</v>
      </c>
    </row>
    <row r="40" spans="1:13" x14ac:dyDescent="0.25">
      <c r="A40" s="344" t="s">
        <v>894</v>
      </c>
      <c r="B40" s="1004"/>
      <c r="C40" s="1005">
        <f>ROUND((+C31/+$M$40),2)</f>
        <v>32.020000000000003</v>
      </c>
      <c r="D40" s="1005">
        <f t="shared" ref="D40:L40" si="24">ROUND((+D31/+$M$40),2)</f>
        <v>32.82</v>
      </c>
      <c r="E40" s="1005">
        <f t="shared" si="24"/>
        <v>33.64</v>
      </c>
      <c r="F40" s="1005">
        <f t="shared" si="24"/>
        <v>34.49</v>
      </c>
      <c r="G40" s="1005">
        <f t="shared" si="24"/>
        <v>35.35</v>
      </c>
      <c r="H40" s="1005">
        <f t="shared" si="24"/>
        <v>36.049999999999997</v>
      </c>
      <c r="I40" s="1005">
        <f t="shared" si="24"/>
        <v>36.78</v>
      </c>
      <c r="J40" s="1005">
        <f t="shared" si="24"/>
        <v>37.51</v>
      </c>
      <c r="K40" s="1005">
        <f t="shared" si="24"/>
        <v>38.26</v>
      </c>
      <c r="L40" s="1005">
        <f t="shared" si="24"/>
        <v>39.22</v>
      </c>
      <c r="M40" s="885">
        <v>1827</v>
      </c>
    </row>
    <row r="41" spans="1:13" x14ac:dyDescent="0.25">
      <c r="A41" s="344" t="s">
        <v>1029</v>
      </c>
      <c r="B41" s="1004"/>
      <c r="C41" s="1005">
        <f>ROUND((+C31/$M$41),2)</f>
        <v>27.99</v>
      </c>
      <c r="D41" s="1005">
        <f t="shared" ref="D41:L41" si="25">ROUND((+D31/$M$41),2)</f>
        <v>28.69</v>
      </c>
      <c r="E41" s="1005">
        <f t="shared" si="25"/>
        <v>29.41</v>
      </c>
      <c r="F41" s="1005">
        <f t="shared" si="25"/>
        <v>30.15</v>
      </c>
      <c r="G41" s="1005">
        <f t="shared" si="25"/>
        <v>30.9</v>
      </c>
      <c r="H41" s="1005">
        <f t="shared" si="25"/>
        <v>31.52</v>
      </c>
      <c r="I41" s="1005">
        <f t="shared" si="25"/>
        <v>32.15</v>
      </c>
      <c r="J41" s="1005">
        <f t="shared" si="25"/>
        <v>32.79</v>
      </c>
      <c r="K41" s="1005">
        <f t="shared" si="25"/>
        <v>33.450000000000003</v>
      </c>
      <c r="L41" s="1005">
        <f t="shared" si="25"/>
        <v>34.28</v>
      </c>
      <c r="M41" s="885">
        <v>2090</v>
      </c>
    </row>
    <row r="42" spans="1:13" x14ac:dyDescent="0.25">
      <c r="A42" s="344" t="s">
        <v>1030</v>
      </c>
      <c r="B42" s="1004"/>
      <c r="C42" s="1005">
        <f>ROUND((+C31/$M$42),2)</f>
        <v>28.02</v>
      </c>
      <c r="D42" s="1005">
        <f t="shared" ref="D42:L42" si="26">ROUND((+D31/$M$42),2)</f>
        <v>28.72</v>
      </c>
      <c r="E42" s="1005">
        <f t="shared" si="26"/>
        <v>29.44</v>
      </c>
      <c r="F42" s="1005">
        <f t="shared" si="26"/>
        <v>30.17</v>
      </c>
      <c r="G42" s="1005">
        <f t="shared" si="26"/>
        <v>30.93</v>
      </c>
      <c r="H42" s="1005">
        <f t="shared" si="26"/>
        <v>31.55</v>
      </c>
      <c r="I42" s="1005">
        <f t="shared" si="26"/>
        <v>32.18</v>
      </c>
      <c r="J42" s="1005">
        <f t="shared" si="26"/>
        <v>32.82</v>
      </c>
      <c r="K42" s="1005">
        <f t="shared" si="26"/>
        <v>33.479999999999997</v>
      </c>
      <c r="L42" s="1005">
        <f t="shared" si="26"/>
        <v>34.32</v>
      </c>
      <c r="M42" s="885">
        <v>2088</v>
      </c>
    </row>
    <row r="43" spans="1:13" x14ac:dyDescent="0.25">
      <c r="A43" s="140" t="s">
        <v>991</v>
      </c>
      <c r="B43" s="885">
        <v>52.2</v>
      </c>
      <c r="C43" s="240" t="s">
        <v>1233</v>
      </c>
      <c r="G43" s="68"/>
      <c r="H43" s="68"/>
      <c r="I43" s="68"/>
      <c r="J43" s="68"/>
      <c r="K43" s="68"/>
    </row>
    <row r="44" spans="1:13" x14ac:dyDescent="0.25">
      <c r="A44" s="356"/>
      <c r="G44" s="371"/>
    </row>
    <row r="45" spans="1:13" x14ac:dyDescent="0.25">
      <c r="A45" s="356" t="s">
        <v>1364</v>
      </c>
      <c r="G45" s="371"/>
    </row>
    <row r="46" spans="1:13" x14ac:dyDescent="0.25">
      <c r="B46" s="80" t="s">
        <v>741</v>
      </c>
    </row>
    <row r="47" spans="1:13" x14ac:dyDescent="0.25">
      <c r="A47" s="273" t="s">
        <v>744</v>
      </c>
      <c r="B47" s="947">
        <v>1</v>
      </c>
      <c r="C47" s="947">
        <v>2</v>
      </c>
      <c r="D47" s="947">
        <v>3</v>
      </c>
      <c r="E47" s="947">
        <v>4</v>
      </c>
      <c r="F47" s="947">
        <v>5</v>
      </c>
      <c r="G47" s="947">
        <v>6</v>
      </c>
      <c r="H47" s="947">
        <v>7</v>
      </c>
      <c r="I47" s="947">
        <v>8</v>
      </c>
      <c r="J47" s="947">
        <v>9</v>
      </c>
      <c r="K47" s="947">
        <v>10</v>
      </c>
      <c r="L47" s="948">
        <v>11</v>
      </c>
    </row>
    <row r="48" spans="1:13" x14ac:dyDescent="0.25">
      <c r="A48" s="274" t="s">
        <v>50</v>
      </c>
      <c r="B48" s="276"/>
      <c r="C48" s="276">
        <f>ROUND((+C70*1.015),2)</f>
        <v>15.26</v>
      </c>
      <c r="D48" s="276">
        <f t="shared" ref="D48:L48" si="27">ROUND((+D70*1.015),2)</f>
        <v>15.63</v>
      </c>
      <c r="E48" s="276">
        <f t="shared" si="27"/>
        <v>16.05</v>
      </c>
      <c r="F48" s="276">
        <f t="shared" si="27"/>
        <v>16.41</v>
      </c>
      <c r="G48" s="276">
        <f t="shared" si="27"/>
        <v>16.84</v>
      </c>
      <c r="H48" s="276">
        <f t="shared" si="27"/>
        <v>17.22</v>
      </c>
      <c r="I48" s="276">
        <f t="shared" si="27"/>
        <v>17.600000000000001</v>
      </c>
      <c r="J48" s="276">
        <f t="shared" si="27"/>
        <v>17.96</v>
      </c>
      <c r="K48" s="276">
        <f t="shared" si="27"/>
        <v>18.32</v>
      </c>
      <c r="L48" s="276">
        <f t="shared" si="27"/>
        <v>18.78</v>
      </c>
    </row>
    <row r="49" spans="1:12" x14ac:dyDescent="0.25">
      <c r="A49" s="274" t="s">
        <v>51</v>
      </c>
      <c r="B49" s="276"/>
      <c r="C49" s="276">
        <f t="shared" ref="C49:L52" si="28">ROUND((+C71*1.015),2)</f>
        <v>17.989999999999998</v>
      </c>
      <c r="D49" s="276">
        <f t="shared" si="28"/>
        <v>18.43</v>
      </c>
      <c r="E49" s="276">
        <f t="shared" si="28"/>
        <v>18.89</v>
      </c>
      <c r="F49" s="276">
        <f t="shared" si="28"/>
        <v>19.37</v>
      </c>
      <c r="G49" s="276">
        <f t="shared" si="28"/>
        <v>19.850000000000001</v>
      </c>
      <c r="H49" s="276">
        <f t="shared" si="28"/>
        <v>20.36</v>
      </c>
      <c r="I49" s="276">
        <f t="shared" si="28"/>
        <v>20.75</v>
      </c>
      <c r="J49" s="276">
        <f t="shared" si="28"/>
        <v>21.18</v>
      </c>
      <c r="K49" s="276">
        <f t="shared" si="28"/>
        <v>21.6</v>
      </c>
      <c r="L49" s="276">
        <f t="shared" si="28"/>
        <v>22.14</v>
      </c>
    </row>
    <row r="50" spans="1:12" x14ac:dyDescent="0.25">
      <c r="A50" s="274" t="s">
        <v>52</v>
      </c>
      <c r="B50" s="276"/>
      <c r="C50" s="276">
        <f t="shared" si="28"/>
        <v>19.36</v>
      </c>
      <c r="D50" s="276">
        <f t="shared" si="28"/>
        <v>19.829999999999998</v>
      </c>
      <c r="E50" s="276">
        <f t="shared" si="28"/>
        <v>20.34</v>
      </c>
      <c r="F50" s="276">
        <f t="shared" si="28"/>
        <v>20.83</v>
      </c>
      <c r="G50" s="276">
        <f t="shared" si="28"/>
        <v>21.38</v>
      </c>
      <c r="H50" s="276">
        <f t="shared" si="28"/>
        <v>21.88</v>
      </c>
      <c r="I50" s="276">
        <f t="shared" si="28"/>
        <v>22.34</v>
      </c>
      <c r="J50" s="276">
        <f t="shared" si="28"/>
        <v>22.78</v>
      </c>
      <c r="K50" s="276">
        <f t="shared" si="28"/>
        <v>23.23</v>
      </c>
      <c r="L50" s="276">
        <f t="shared" si="28"/>
        <v>23.81</v>
      </c>
    </row>
    <row r="51" spans="1:12" x14ac:dyDescent="0.25">
      <c r="A51" s="274" t="s">
        <v>751</v>
      </c>
      <c r="B51" s="276"/>
      <c r="C51" s="276">
        <f t="shared" si="28"/>
        <v>21.09</v>
      </c>
      <c r="D51" s="276">
        <f t="shared" si="28"/>
        <v>21.62</v>
      </c>
      <c r="E51" s="276">
        <f t="shared" si="28"/>
        <v>22.16</v>
      </c>
      <c r="F51" s="276">
        <f t="shared" si="28"/>
        <v>22.71</v>
      </c>
      <c r="G51" s="276">
        <f t="shared" si="28"/>
        <v>23.29</v>
      </c>
      <c r="H51" s="276">
        <f t="shared" si="28"/>
        <v>23.87</v>
      </c>
      <c r="I51" s="276">
        <f t="shared" si="28"/>
        <v>24.34</v>
      </c>
      <c r="J51" s="276">
        <f t="shared" si="28"/>
        <v>24.84</v>
      </c>
      <c r="K51" s="276">
        <f t="shared" si="28"/>
        <v>25.32</v>
      </c>
      <c r="L51" s="276">
        <f t="shared" si="28"/>
        <v>25.95</v>
      </c>
    </row>
    <row r="52" spans="1:12" x14ac:dyDescent="0.25">
      <c r="A52" s="274" t="s">
        <v>750</v>
      </c>
      <c r="B52" s="276"/>
      <c r="C52" s="276">
        <f t="shared" si="28"/>
        <v>22.77</v>
      </c>
      <c r="D52" s="276">
        <f t="shared" si="28"/>
        <v>23.35</v>
      </c>
      <c r="E52" s="276">
        <f t="shared" si="28"/>
        <v>23.92</v>
      </c>
      <c r="F52" s="276">
        <f t="shared" si="28"/>
        <v>24.52</v>
      </c>
      <c r="G52" s="276">
        <f t="shared" si="28"/>
        <v>25.13</v>
      </c>
      <c r="H52" s="276">
        <f t="shared" si="28"/>
        <v>25.76</v>
      </c>
      <c r="I52" s="276">
        <f t="shared" si="28"/>
        <v>26.28</v>
      </c>
      <c r="J52" s="276">
        <f t="shared" si="28"/>
        <v>26.81</v>
      </c>
      <c r="K52" s="276">
        <f t="shared" si="28"/>
        <v>27.34</v>
      </c>
      <c r="L52" s="276">
        <f t="shared" si="28"/>
        <v>28.02</v>
      </c>
    </row>
    <row r="53" spans="1:12" x14ac:dyDescent="0.25">
      <c r="A53" s="274" t="s">
        <v>749</v>
      </c>
      <c r="B53" s="357"/>
      <c r="C53" s="692">
        <f>ROUND((+C75*1.015),0)</f>
        <v>57643</v>
      </c>
      <c r="D53" s="692">
        <f t="shared" ref="D53:L53" si="29">ROUND((+D75*1.015),0)</f>
        <v>59082</v>
      </c>
      <c r="E53" s="692">
        <f t="shared" si="29"/>
        <v>60560</v>
      </c>
      <c r="F53" s="692">
        <f t="shared" si="29"/>
        <v>62074</v>
      </c>
      <c r="G53" s="692">
        <f t="shared" si="29"/>
        <v>63627</v>
      </c>
      <c r="H53" s="692">
        <f t="shared" si="29"/>
        <v>64898</v>
      </c>
      <c r="I53" s="692">
        <f t="shared" si="29"/>
        <v>66197</v>
      </c>
      <c r="J53" s="692">
        <f t="shared" si="29"/>
        <v>67520</v>
      </c>
      <c r="K53" s="692">
        <f t="shared" si="29"/>
        <v>68870</v>
      </c>
      <c r="L53" s="692">
        <f t="shared" si="29"/>
        <v>70591</v>
      </c>
    </row>
    <row r="54" spans="1:12" x14ac:dyDescent="0.25">
      <c r="A54" s="274" t="s">
        <v>748</v>
      </c>
      <c r="B54" s="357"/>
      <c r="C54" s="692">
        <f>ROUND((+C76*1.015),0)</f>
        <v>61251</v>
      </c>
      <c r="D54" s="692">
        <f t="shared" ref="D54:L54" si="30">ROUND((+D76*1.015),0)</f>
        <v>62783</v>
      </c>
      <c r="E54" s="692">
        <f t="shared" si="30"/>
        <v>64352</v>
      </c>
      <c r="F54" s="692">
        <f t="shared" si="30"/>
        <v>65960</v>
      </c>
      <c r="G54" s="692">
        <f t="shared" si="30"/>
        <v>67610</v>
      </c>
      <c r="H54" s="692">
        <f t="shared" si="30"/>
        <v>68963</v>
      </c>
      <c r="I54" s="692">
        <f t="shared" si="30"/>
        <v>70341</v>
      </c>
      <c r="J54" s="692">
        <f t="shared" si="30"/>
        <v>71748</v>
      </c>
      <c r="K54" s="692">
        <f t="shared" si="30"/>
        <v>73184</v>
      </c>
      <c r="L54" s="692">
        <f t="shared" si="30"/>
        <v>75014</v>
      </c>
    </row>
    <row r="55" spans="1:12" x14ac:dyDescent="0.25">
      <c r="A55" s="344" t="s">
        <v>1232</v>
      </c>
      <c r="B55" s="657"/>
      <c r="C55" s="657"/>
      <c r="D55" s="657"/>
      <c r="E55" s="657"/>
      <c r="F55" s="657"/>
      <c r="G55" s="658">
        <f>+ROUND((((+G54*1.085)/$B$65)/37.69),2)</f>
        <v>37.29</v>
      </c>
      <c r="H55" s="658">
        <f t="shared" ref="H55:L55" si="31">+ROUND((((+H54*1.085)/$B$65)/37.69),2)</f>
        <v>38.03</v>
      </c>
      <c r="I55" s="658">
        <f t="shared" si="31"/>
        <v>38.79</v>
      </c>
      <c r="J55" s="658">
        <f t="shared" si="31"/>
        <v>39.57</v>
      </c>
      <c r="K55" s="658">
        <f t="shared" si="31"/>
        <v>40.36</v>
      </c>
      <c r="L55" s="658">
        <f t="shared" si="31"/>
        <v>41.37</v>
      </c>
    </row>
    <row r="56" spans="1:12" x14ac:dyDescent="0.25">
      <c r="A56" s="274" t="s">
        <v>747</v>
      </c>
      <c r="B56" s="357"/>
      <c r="C56" s="692">
        <f t="shared" ref="C56:L58" si="32">ROUND((+C78*1.015),0)</f>
        <v>77854</v>
      </c>
      <c r="D56" s="692">
        <f t="shared" si="32"/>
        <v>79799</v>
      </c>
      <c r="E56" s="692">
        <f t="shared" si="32"/>
        <v>81797</v>
      </c>
      <c r="F56" s="692">
        <f t="shared" si="32"/>
        <v>83841</v>
      </c>
      <c r="G56" s="692">
        <f t="shared" si="32"/>
        <v>85938</v>
      </c>
      <c r="H56" s="692">
        <f t="shared" si="32"/>
        <v>88086</v>
      </c>
      <c r="I56" s="692">
        <f t="shared" si="32"/>
        <v>89848</v>
      </c>
      <c r="J56" s="692">
        <f t="shared" si="32"/>
        <v>91643</v>
      </c>
      <c r="K56" s="692">
        <f t="shared" si="32"/>
        <v>93476</v>
      </c>
      <c r="L56" s="692">
        <f t="shared" si="32"/>
        <v>95813</v>
      </c>
    </row>
    <row r="57" spans="1:12" x14ac:dyDescent="0.25">
      <c r="A57" s="274" t="s">
        <v>746</v>
      </c>
      <c r="B57" s="357"/>
      <c r="C57" s="692">
        <f t="shared" si="32"/>
        <v>85639</v>
      </c>
      <c r="D57" s="692">
        <f t="shared" si="32"/>
        <v>87781</v>
      </c>
      <c r="E57" s="692">
        <f t="shared" si="32"/>
        <v>89976</v>
      </c>
      <c r="F57" s="692">
        <f t="shared" si="32"/>
        <v>92224</v>
      </c>
      <c r="G57" s="692">
        <f t="shared" si="32"/>
        <v>94529</v>
      </c>
      <c r="H57" s="692">
        <f t="shared" si="32"/>
        <v>96892</v>
      </c>
      <c r="I57" s="692">
        <f t="shared" si="32"/>
        <v>98832</v>
      </c>
      <c r="J57" s="692">
        <f t="shared" si="32"/>
        <v>100807</v>
      </c>
      <c r="K57" s="692">
        <f t="shared" si="32"/>
        <v>102824</v>
      </c>
      <c r="L57" s="692">
        <f t="shared" si="32"/>
        <v>105395</v>
      </c>
    </row>
    <row r="58" spans="1:12" x14ac:dyDescent="0.25">
      <c r="A58" s="274" t="s">
        <v>745</v>
      </c>
      <c r="B58" s="357"/>
      <c r="C58" s="692">
        <f t="shared" si="32"/>
        <v>94203</v>
      </c>
      <c r="D58" s="692">
        <f t="shared" si="32"/>
        <v>96560</v>
      </c>
      <c r="E58" s="692">
        <f t="shared" si="32"/>
        <v>98973</v>
      </c>
      <c r="F58" s="692">
        <f t="shared" si="32"/>
        <v>101447</v>
      </c>
      <c r="G58" s="692">
        <f t="shared" si="32"/>
        <v>103984</v>
      </c>
      <c r="H58" s="692">
        <f t="shared" si="32"/>
        <v>106583</v>
      </c>
      <c r="I58" s="692">
        <f t="shared" si="32"/>
        <v>108713</v>
      </c>
      <c r="J58" s="692">
        <f t="shared" si="32"/>
        <v>110889</v>
      </c>
      <c r="K58" s="692">
        <f t="shared" si="32"/>
        <v>113107</v>
      </c>
      <c r="L58" s="692">
        <f t="shared" si="32"/>
        <v>115934</v>
      </c>
    </row>
    <row r="60" spans="1:12" x14ac:dyDescent="0.25">
      <c r="A60" s="274" t="s">
        <v>33</v>
      </c>
      <c r="B60" s="334" t="s">
        <v>1234</v>
      </c>
      <c r="C60" s="120"/>
      <c r="D60" s="120"/>
      <c r="E60" s="120"/>
    </row>
    <row r="61" spans="1:12" x14ac:dyDescent="0.25">
      <c r="A61" s="273" t="s">
        <v>744</v>
      </c>
      <c r="B61" s="947">
        <v>1</v>
      </c>
      <c r="C61" s="947">
        <v>2</v>
      </c>
      <c r="D61" s="947">
        <v>3</v>
      </c>
      <c r="E61" s="947">
        <v>4</v>
      </c>
      <c r="F61" s="947">
        <v>5</v>
      </c>
      <c r="G61" s="947">
        <v>6</v>
      </c>
      <c r="H61" s="947">
        <v>7</v>
      </c>
      <c r="I61" s="947">
        <v>8</v>
      </c>
      <c r="J61" s="947">
        <v>9</v>
      </c>
      <c r="K61" s="947">
        <v>10</v>
      </c>
      <c r="L61" s="947">
        <v>11</v>
      </c>
    </row>
    <row r="62" spans="1:12" x14ac:dyDescent="0.25">
      <c r="A62" s="344" t="s">
        <v>894</v>
      </c>
      <c r="B62" s="1"/>
      <c r="C62" s="1">
        <f>ROUND((+C53/+'To Do and Changes'!$E13),2)</f>
        <v>31.55</v>
      </c>
      <c r="D62" s="1">
        <f>ROUND((+D53/+'To Do and Changes'!$E13),2)</f>
        <v>32.340000000000003</v>
      </c>
      <c r="E62" s="1">
        <f>ROUND((+E53/+'To Do and Changes'!$E13),2)</f>
        <v>33.15</v>
      </c>
      <c r="F62" s="1">
        <f>ROUND((+F53/+'To Do and Changes'!$E13),2)</f>
        <v>33.979999999999997</v>
      </c>
      <c r="G62" s="1">
        <f>ROUND((+G53/+'To Do and Changes'!$E13),2)</f>
        <v>34.83</v>
      </c>
      <c r="H62" s="1">
        <f>ROUND((+H53/+'To Do and Changes'!$E13),2)</f>
        <v>35.520000000000003</v>
      </c>
      <c r="I62" s="1">
        <f>ROUND((+I53/+'To Do and Changes'!$E13),2)</f>
        <v>36.229999999999997</v>
      </c>
      <c r="J62" s="1">
        <f>ROUND((+J53/+'To Do and Changes'!$E13),2)</f>
        <v>36.96</v>
      </c>
      <c r="K62" s="1">
        <f>ROUND((+K53/+'To Do and Changes'!$E13),2)</f>
        <v>37.700000000000003</v>
      </c>
      <c r="L62" s="1">
        <f>ROUND((+L53/+'To Do and Changes'!$E13),2)</f>
        <v>38.64</v>
      </c>
    </row>
    <row r="63" spans="1:12" x14ac:dyDescent="0.25">
      <c r="A63" s="344" t="s">
        <v>1029</v>
      </c>
      <c r="B63" s="1"/>
      <c r="C63" s="1">
        <f>ROUND((+C53/'To Do and Changes'!$E16),2)</f>
        <v>27.71</v>
      </c>
      <c r="D63" s="1">
        <f>ROUND((+D53/'To Do and Changes'!$E16),2)</f>
        <v>28.4</v>
      </c>
      <c r="E63" s="1">
        <f>ROUND((+E53/'To Do and Changes'!$E16),2)</f>
        <v>29.12</v>
      </c>
      <c r="F63" s="1">
        <f>ROUND((+F53/'To Do and Changes'!$E16),2)</f>
        <v>29.84</v>
      </c>
      <c r="G63" s="1">
        <f>ROUND((+G53/'To Do and Changes'!$E16),2)</f>
        <v>30.59</v>
      </c>
      <c r="H63" s="1">
        <f>ROUND((+H53/'To Do and Changes'!$E16),2)</f>
        <v>31.2</v>
      </c>
      <c r="I63" s="1">
        <f>ROUND((+I53/'To Do and Changes'!$E16),2)</f>
        <v>31.83</v>
      </c>
      <c r="J63" s="1">
        <f>ROUND((+J53/'To Do and Changes'!$E16),2)</f>
        <v>32.46</v>
      </c>
      <c r="K63" s="1">
        <f>ROUND((+K53/'To Do and Changes'!$E16),2)</f>
        <v>33.11</v>
      </c>
      <c r="L63" s="1">
        <f>ROUND((+L53/'To Do and Changes'!$E16),2)</f>
        <v>33.94</v>
      </c>
    </row>
    <row r="64" spans="1:12" x14ac:dyDescent="0.25">
      <c r="A64" s="344" t="s">
        <v>1030</v>
      </c>
      <c r="B64" s="1"/>
      <c r="C64" s="1">
        <f>ROUND((+C53/+'To Do and Changes'!$E15),2)</f>
        <v>27.61</v>
      </c>
      <c r="D64" s="1">
        <f>ROUND((+D53/+'To Do and Changes'!$E15),2)</f>
        <v>28.3</v>
      </c>
      <c r="E64" s="1">
        <f>ROUND((+E53/+'To Do and Changes'!$E15),2)</f>
        <v>29</v>
      </c>
      <c r="F64" s="1">
        <f>ROUND((+F53/+'To Do and Changes'!$E15),2)</f>
        <v>29.73</v>
      </c>
      <c r="G64" s="1">
        <f>ROUND((+G53/+'To Do and Changes'!$E15),2)</f>
        <v>30.47</v>
      </c>
      <c r="H64" s="1">
        <f>ROUND((+H53/+'To Do and Changes'!$E15),2)</f>
        <v>31.08</v>
      </c>
      <c r="I64" s="1">
        <f>ROUND((+I53/+'To Do and Changes'!$E15),2)</f>
        <v>31.7</v>
      </c>
      <c r="J64" s="1">
        <f>ROUND((+J53/+'To Do and Changes'!$E15),2)</f>
        <v>32.340000000000003</v>
      </c>
      <c r="K64" s="1">
        <f>ROUND((+K53/+'To Do and Changes'!$E15),2)</f>
        <v>32.979999999999997</v>
      </c>
      <c r="L64" s="1">
        <f>ROUND((+L53/+'To Do and Changes'!$E15),2)</f>
        <v>33.81</v>
      </c>
    </row>
    <row r="65" spans="1:12" x14ac:dyDescent="0.25">
      <c r="A65" s="140" t="s">
        <v>991</v>
      </c>
      <c r="B65" s="885">
        <v>52.2</v>
      </c>
      <c r="C65" s="240" t="s">
        <v>1233</v>
      </c>
      <c r="G65" s="68"/>
      <c r="H65" s="68"/>
      <c r="I65" s="68"/>
      <c r="J65" s="68"/>
      <c r="K65" s="68"/>
    </row>
    <row r="67" spans="1:12" x14ac:dyDescent="0.25">
      <c r="A67" s="356" t="s">
        <v>1365</v>
      </c>
    </row>
    <row r="68" spans="1:12" x14ac:dyDescent="0.25">
      <c r="B68" s="80" t="s">
        <v>741</v>
      </c>
      <c r="L68" s="421" t="s">
        <v>1310</v>
      </c>
    </row>
    <row r="69" spans="1:12" x14ac:dyDescent="0.25">
      <c r="A69" s="273" t="s">
        <v>744</v>
      </c>
      <c r="B69" s="947">
        <v>1</v>
      </c>
      <c r="C69" s="947">
        <v>2</v>
      </c>
      <c r="D69" s="947">
        <v>3</v>
      </c>
      <c r="E69" s="947">
        <v>4</v>
      </c>
      <c r="F69" s="947">
        <v>5</v>
      </c>
      <c r="G69" s="947">
        <v>6</v>
      </c>
      <c r="H69" s="947">
        <v>7</v>
      </c>
      <c r="I69" s="947">
        <v>8</v>
      </c>
      <c r="J69" s="947">
        <v>9</v>
      </c>
      <c r="K69" s="947">
        <v>10</v>
      </c>
      <c r="L69" s="948">
        <v>11</v>
      </c>
    </row>
    <row r="70" spans="1:12" x14ac:dyDescent="0.25">
      <c r="A70" s="274" t="s">
        <v>50</v>
      </c>
      <c r="B70" s="276"/>
      <c r="C70" s="276">
        <f t="shared" ref="C70:K70" si="33">ROUND((+C92*1.01),2)</f>
        <v>15.03</v>
      </c>
      <c r="D70" s="276">
        <f t="shared" si="33"/>
        <v>15.4</v>
      </c>
      <c r="E70" s="276">
        <f t="shared" si="33"/>
        <v>15.81</v>
      </c>
      <c r="F70" s="276">
        <f t="shared" si="33"/>
        <v>16.170000000000002</v>
      </c>
      <c r="G70" s="276">
        <f t="shared" si="33"/>
        <v>16.59</v>
      </c>
      <c r="H70" s="276">
        <f t="shared" si="33"/>
        <v>16.97</v>
      </c>
      <c r="I70" s="276">
        <f t="shared" si="33"/>
        <v>17.34</v>
      </c>
      <c r="J70" s="276">
        <f t="shared" si="33"/>
        <v>17.690000000000001</v>
      </c>
      <c r="K70" s="276">
        <f t="shared" si="33"/>
        <v>18.05</v>
      </c>
      <c r="L70" s="694">
        <f>ROUND((+K70*1.025),2)</f>
        <v>18.5</v>
      </c>
    </row>
    <row r="71" spans="1:12" x14ac:dyDescent="0.25">
      <c r="A71" s="274" t="s">
        <v>51</v>
      </c>
      <c r="B71" s="276"/>
      <c r="C71" s="276">
        <f t="shared" ref="C71:K74" si="34">ROUND((+C93*1.01),2)</f>
        <v>17.72</v>
      </c>
      <c r="D71" s="276">
        <f t="shared" si="34"/>
        <v>18.16</v>
      </c>
      <c r="E71" s="276">
        <f t="shared" si="34"/>
        <v>18.61</v>
      </c>
      <c r="F71" s="276">
        <f t="shared" si="34"/>
        <v>19.079999999999998</v>
      </c>
      <c r="G71" s="276">
        <f t="shared" si="34"/>
        <v>19.559999999999999</v>
      </c>
      <c r="H71" s="276">
        <f t="shared" si="34"/>
        <v>20.059999999999999</v>
      </c>
      <c r="I71" s="276">
        <f t="shared" si="34"/>
        <v>20.440000000000001</v>
      </c>
      <c r="J71" s="276">
        <f t="shared" si="34"/>
        <v>20.87</v>
      </c>
      <c r="K71" s="276">
        <f t="shared" si="34"/>
        <v>21.28</v>
      </c>
      <c r="L71" s="694">
        <f t="shared" ref="L71:L74" si="35">ROUND((+K71*1.025),2)</f>
        <v>21.81</v>
      </c>
    </row>
    <row r="72" spans="1:12" x14ac:dyDescent="0.25">
      <c r="A72" s="274" t="s">
        <v>52</v>
      </c>
      <c r="B72" s="276"/>
      <c r="C72" s="276">
        <f t="shared" si="34"/>
        <v>19.07</v>
      </c>
      <c r="D72" s="276">
        <f t="shared" si="34"/>
        <v>19.54</v>
      </c>
      <c r="E72" s="276">
        <f t="shared" si="34"/>
        <v>20.04</v>
      </c>
      <c r="F72" s="276">
        <f t="shared" si="34"/>
        <v>20.52</v>
      </c>
      <c r="G72" s="276">
        <f t="shared" si="34"/>
        <v>21.06</v>
      </c>
      <c r="H72" s="276">
        <f t="shared" si="34"/>
        <v>21.56</v>
      </c>
      <c r="I72" s="276">
        <f t="shared" si="34"/>
        <v>22.01</v>
      </c>
      <c r="J72" s="276">
        <f t="shared" si="34"/>
        <v>22.44</v>
      </c>
      <c r="K72" s="276">
        <f t="shared" si="34"/>
        <v>22.89</v>
      </c>
      <c r="L72" s="694">
        <f t="shared" si="35"/>
        <v>23.46</v>
      </c>
    </row>
    <row r="73" spans="1:12" x14ac:dyDescent="0.25">
      <c r="A73" s="274" t="s">
        <v>751</v>
      </c>
      <c r="B73" s="276"/>
      <c r="C73" s="276">
        <f t="shared" si="34"/>
        <v>20.78</v>
      </c>
      <c r="D73" s="276">
        <f t="shared" si="34"/>
        <v>21.3</v>
      </c>
      <c r="E73" s="276">
        <f t="shared" si="34"/>
        <v>21.83</v>
      </c>
      <c r="F73" s="276">
        <f t="shared" si="34"/>
        <v>22.37</v>
      </c>
      <c r="G73" s="276">
        <f t="shared" si="34"/>
        <v>22.95</v>
      </c>
      <c r="H73" s="276">
        <f t="shared" si="34"/>
        <v>23.52</v>
      </c>
      <c r="I73" s="276">
        <f t="shared" si="34"/>
        <v>23.98</v>
      </c>
      <c r="J73" s="276">
        <f t="shared" si="34"/>
        <v>24.47</v>
      </c>
      <c r="K73" s="276">
        <f t="shared" si="34"/>
        <v>24.95</v>
      </c>
      <c r="L73" s="694">
        <f t="shared" si="35"/>
        <v>25.57</v>
      </c>
    </row>
    <row r="74" spans="1:12" x14ac:dyDescent="0.25">
      <c r="A74" s="274" t="s">
        <v>750</v>
      </c>
      <c r="B74" s="276"/>
      <c r="C74" s="276">
        <f t="shared" si="34"/>
        <v>22.43</v>
      </c>
      <c r="D74" s="276">
        <f t="shared" si="34"/>
        <v>23</v>
      </c>
      <c r="E74" s="276">
        <f t="shared" si="34"/>
        <v>23.57</v>
      </c>
      <c r="F74" s="276">
        <f t="shared" si="34"/>
        <v>24.16</v>
      </c>
      <c r="G74" s="276">
        <f t="shared" si="34"/>
        <v>24.76</v>
      </c>
      <c r="H74" s="276">
        <f t="shared" si="34"/>
        <v>25.38</v>
      </c>
      <c r="I74" s="276">
        <f t="shared" si="34"/>
        <v>25.89</v>
      </c>
      <c r="J74" s="276">
        <f t="shared" si="34"/>
        <v>26.41</v>
      </c>
      <c r="K74" s="276">
        <f t="shared" si="34"/>
        <v>26.94</v>
      </c>
      <c r="L74" s="694">
        <f t="shared" si="35"/>
        <v>27.61</v>
      </c>
    </row>
    <row r="75" spans="1:12" x14ac:dyDescent="0.25">
      <c r="A75" s="274" t="s">
        <v>749</v>
      </c>
      <c r="B75" s="692"/>
      <c r="C75" s="692">
        <f>ROUND((+C97*1.01),0)</f>
        <v>56791</v>
      </c>
      <c r="D75" s="692">
        <f t="shared" ref="D75:K75" si="36">ROUND((+D97*1.01),0)</f>
        <v>58209</v>
      </c>
      <c r="E75" s="692">
        <f t="shared" si="36"/>
        <v>59665</v>
      </c>
      <c r="F75" s="692">
        <f t="shared" si="36"/>
        <v>61157</v>
      </c>
      <c r="G75" s="692">
        <f t="shared" si="36"/>
        <v>62687</v>
      </c>
      <c r="H75" s="692">
        <f t="shared" si="36"/>
        <v>63939</v>
      </c>
      <c r="I75" s="692">
        <f t="shared" si="36"/>
        <v>65219</v>
      </c>
      <c r="J75" s="692">
        <f t="shared" si="36"/>
        <v>66522</v>
      </c>
      <c r="K75" s="692">
        <f t="shared" si="36"/>
        <v>67852</v>
      </c>
      <c r="L75" s="695">
        <f>ROUND((+K75*1.025),0)</f>
        <v>69548</v>
      </c>
    </row>
    <row r="76" spans="1:12" x14ac:dyDescent="0.25">
      <c r="A76" s="274" t="s">
        <v>748</v>
      </c>
      <c r="B76" s="692"/>
      <c r="C76" s="692">
        <f>ROUND((+C98*1.01),0)</f>
        <v>60346</v>
      </c>
      <c r="D76" s="692">
        <f t="shared" ref="D76:K76" si="37">ROUND((+D98*1.01),0)</f>
        <v>61855</v>
      </c>
      <c r="E76" s="692">
        <f t="shared" si="37"/>
        <v>63401</v>
      </c>
      <c r="F76" s="692">
        <f t="shared" si="37"/>
        <v>64985</v>
      </c>
      <c r="G76" s="692">
        <f t="shared" si="37"/>
        <v>66611</v>
      </c>
      <c r="H76" s="692">
        <f t="shared" si="37"/>
        <v>67944</v>
      </c>
      <c r="I76" s="692">
        <f t="shared" si="37"/>
        <v>69301</v>
      </c>
      <c r="J76" s="692">
        <f t="shared" si="37"/>
        <v>70688</v>
      </c>
      <c r="K76" s="692">
        <f t="shared" si="37"/>
        <v>72102</v>
      </c>
      <c r="L76" s="695">
        <f>ROUND((+K76*1.025),0)</f>
        <v>73905</v>
      </c>
    </row>
    <row r="77" spans="1:12" x14ac:dyDescent="0.25">
      <c r="A77" s="344" t="s">
        <v>1232</v>
      </c>
      <c r="B77" s="693"/>
      <c r="C77" s="693">
        <f t="shared" ref="C77:F77" si="38">+ROUND((((+C76*1.085)/$B$87)/37.69),2)</f>
        <v>33.15</v>
      </c>
      <c r="D77" s="693">
        <f t="shared" si="38"/>
        <v>33.979999999999997</v>
      </c>
      <c r="E77" s="693">
        <f t="shared" si="38"/>
        <v>34.83</v>
      </c>
      <c r="F77" s="693">
        <f t="shared" si="38"/>
        <v>35.700000000000003</v>
      </c>
      <c r="G77" s="658">
        <f t="shared" ref="G77:L77" si="39">+ROUND((((+G76*1.085)/$B$87)/37.69),2)</f>
        <v>36.590000000000003</v>
      </c>
      <c r="H77" s="658">
        <f t="shared" si="39"/>
        <v>37.33</v>
      </c>
      <c r="I77" s="658">
        <f t="shared" si="39"/>
        <v>38.07</v>
      </c>
      <c r="J77" s="658">
        <f t="shared" si="39"/>
        <v>38.83</v>
      </c>
      <c r="K77" s="658">
        <f t="shared" si="39"/>
        <v>39.61</v>
      </c>
      <c r="L77" s="658">
        <f t="shared" si="39"/>
        <v>40.6</v>
      </c>
    </row>
    <row r="78" spans="1:12" x14ac:dyDescent="0.25">
      <c r="A78" s="274" t="s">
        <v>747</v>
      </c>
      <c r="B78" s="692"/>
      <c r="C78" s="692">
        <f t="shared" ref="C78:C80" si="40">ROUND((+C100*1.01),0)</f>
        <v>76703</v>
      </c>
      <c r="D78" s="692">
        <f t="shared" ref="D78:K78" si="41">ROUND((+D100*1.01),0)</f>
        <v>78620</v>
      </c>
      <c r="E78" s="692">
        <f t="shared" si="41"/>
        <v>80588</v>
      </c>
      <c r="F78" s="692">
        <f t="shared" si="41"/>
        <v>82602</v>
      </c>
      <c r="G78" s="692">
        <f t="shared" si="41"/>
        <v>84668</v>
      </c>
      <c r="H78" s="692">
        <f t="shared" si="41"/>
        <v>86784</v>
      </c>
      <c r="I78" s="692">
        <f t="shared" si="41"/>
        <v>88520</v>
      </c>
      <c r="J78" s="692">
        <f t="shared" si="41"/>
        <v>90289</v>
      </c>
      <c r="K78" s="692">
        <f t="shared" si="41"/>
        <v>92095</v>
      </c>
      <c r="L78" s="695">
        <f t="shared" ref="L78:L80" si="42">ROUND((+K78*1.025),0)</f>
        <v>94397</v>
      </c>
    </row>
    <row r="79" spans="1:12" x14ac:dyDescent="0.25">
      <c r="A79" s="274" t="s">
        <v>746</v>
      </c>
      <c r="B79" s="692"/>
      <c r="C79" s="692">
        <f t="shared" si="40"/>
        <v>84373</v>
      </c>
      <c r="D79" s="692">
        <f t="shared" ref="D79:K79" si="43">ROUND((+D101*1.01),0)</f>
        <v>86484</v>
      </c>
      <c r="E79" s="692">
        <f t="shared" si="43"/>
        <v>88646</v>
      </c>
      <c r="F79" s="692">
        <f t="shared" si="43"/>
        <v>90861</v>
      </c>
      <c r="G79" s="692">
        <f t="shared" si="43"/>
        <v>93132</v>
      </c>
      <c r="H79" s="692">
        <f t="shared" si="43"/>
        <v>95460</v>
      </c>
      <c r="I79" s="692">
        <f t="shared" si="43"/>
        <v>97371</v>
      </c>
      <c r="J79" s="692">
        <f t="shared" si="43"/>
        <v>99317</v>
      </c>
      <c r="K79" s="692">
        <f t="shared" si="43"/>
        <v>101304</v>
      </c>
      <c r="L79" s="695">
        <f t="shared" si="42"/>
        <v>103837</v>
      </c>
    </row>
    <row r="80" spans="1:12" x14ac:dyDescent="0.25">
      <c r="A80" s="274" t="s">
        <v>745</v>
      </c>
      <c r="B80" s="692"/>
      <c r="C80" s="692">
        <f t="shared" si="40"/>
        <v>92811</v>
      </c>
      <c r="D80" s="692">
        <f t="shared" ref="D80:K80" si="44">ROUND((+D102*1.01),0)</f>
        <v>95133</v>
      </c>
      <c r="E80" s="692">
        <f t="shared" si="44"/>
        <v>97510</v>
      </c>
      <c r="F80" s="692">
        <f t="shared" si="44"/>
        <v>99948</v>
      </c>
      <c r="G80" s="692">
        <f t="shared" si="44"/>
        <v>102447</v>
      </c>
      <c r="H80" s="692">
        <f t="shared" si="44"/>
        <v>105008</v>
      </c>
      <c r="I80" s="692">
        <f t="shared" si="44"/>
        <v>107106</v>
      </c>
      <c r="J80" s="692">
        <f t="shared" si="44"/>
        <v>109250</v>
      </c>
      <c r="K80" s="692">
        <f t="shared" si="44"/>
        <v>111435</v>
      </c>
      <c r="L80" s="695">
        <f t="shared" si="42"/>
        <v>114221</v>
      </c>
    </row>
    <row r="82" spans="1:12" x14ac:dyDescent="0.25">
      <c r="A82" s="274" t="s">
        <v>33</v>
      </c>
      <c r="B82" s="334" t="s">
        <v>1234</v>
      </c>
      <c r="C82" s="120"/>
      <c r="D82" s="120"/>
      <c r="E82" s="120"/>
    </row>
    <row r="83" spans="1:12" x14ac:dyDescent="0.25">
      <c r="A83" s="273" t="s">
        <v>744</v>
      </c>
      <c r="B83" s="947">
        <v>1</v>
      </c>
      <c r="C83" s="947">
        <v>2</v>
      </c>
      <c r="D83" s="947">
        <v>3</v>
      </c>
      <c r="E83" s="947">
        <v>4</v>
      </c>
      <c r="F83" s="947">
        <v>5</v>
      </c>
      <c r="G83" s="947">
        <v>6</v>
      </c>
      <c r="H83" s="947">
        <v>7</v>
      </c>
      <c r="I83" s="947">
        <v>8</v>
      </c>
      <c r="J83" s="947">
        <v>9</v>
      </c>
      <c r="K83" s="947">
        <v>10</v>
      </c>
      <c r="L83" s="948">
        <v>11</v>
      </c>
    </row>
    <row r="84" spans="1:12" x14ac:dyDescent="0.25">
      <c r="A84" s="344" t="s">
        <v>894</v>
      </c>
      <c r="B84" s="1">
        <f>ROUND((+B75/1834),2)</f>
        <v>0</v>
      </c>
      <c r="C84" s="1">
        <f>ROUND((+C75/1834),2)</f>
        <v>30.97</v>
      </c>
      <c r="D84" s="1">
        <f t="shared" ref="D84:L84" si="45">ROUND((+D75/1834),2)</f>
        <v>31.74</v>
      </c>
      <c r="E84" s="1">
        <f t="shared" si="45"/>
        <v>32.53</v>
      </c>
      <c r="F84" s="1">
        <f t="shared" si="45"/>
        <v>33.35</v>
      </c>
      <c r="G84" s="1">
        <f t="shared" si="45"/>
        <v>34.18</v>
      </c>
      <c r="H84" s="1">
        <f t="shared" si="45"/>
        <v>34.86</v>
      </c>
      <c r="I84" s="1">
        <f t="shared" si="45"/>
        <v>35.56</v>
      </c>
      <c r="J84" s="1">
        <f t="shared" si="45"/>
        <v>36.270000000000003</v>
      </c>
      <c r="K84" s="1">
        <f t="shared" si="45"/>
        <v>37</v>
      </c>
      <c r="L84" s="1">
        <f t="shared" si="45"/>
        <v>37.92</v>
      </c>
    </row>
    <row r="85" spans="1:12" x14ac:dyDescent="0.25">
      <c r="A85" s="344" t="s">
        <v>1029</v>
      </c>
      <c r="B85" s="1">
        <f>ROUND((+B75/2100),2)</f>
        <v>0</v>
      </c>
      <c r="C85" s="1">
        <f t="shared" ref="C85:L85" si="46">ROUND((+C75/2100),2)</f>
        <v>27.04</v>
      </c>
      <c r="D85" s="1">
        <f t="shared" si="46"/>
        <v>27.72</v>
      </c>
      <c r="E85" s="1">
        <f t="shared" si="46"/>
        <v>28.41</v>
      </c>
      <c r="F85" s="1">
        <f t="shared" si="46"/>
        <v>29.12</v>
      </c>
      <c r="G85" s="1">
        <f t="shared" si="46"/>
        <v>29.85</v>
      </c>
      <c r="H85" s="1">
        <f t="shared" si="46"/>
        <v>30.45</v>
      </c>
      <c r="I85" s="1">
        <f t="shared" si="46"/>
        <v>31.06</v>
      </c>
      <c r="J85" s="1">
        <f t="shared" si="46"/>
        <v>31.68</v>
      </c>
      <c r="K85" s="1">
        <f t="shared" si="46"/>
        <v>32.31</v>
      </c>
      <c r="L85" s="1">
        <f t="shared" si="46"/>
        <v>33.119999999999997</v>
      </c>
    </row>
    <row r="86" spans="1:12" x14ac:dyDescent="0.25">
      <c r="A86" s="344" t="s">
        <v>1030</v>
      </c>
      <c r="B86" s="1">
        <f>ROUND((+B75/2096),2)</f>
        <v>0</v>
      </c>
      <c r="C86" s="1">
        <f t="shared" ref="C86:L86" si="47">ROUND((+C75/2096),2)</f>
        <v>27.09</v>
      </c>
      <c r="D86" s="1">
        <f t="shared" si="47"/>
        <v>27.77</v>
      </c>
      <c r="E86" s="1">
        <f t="shared" si="47"/>
        <v>28.47</v>
      </c>
      <c r="F86" s="1">
        <f t="shared" si="47"/>
        <v>29.18</v>
      </c>
      <c r="G86" s="1">
        <f t="shared" si="47"/>
        <v>29.91</v>
      </c>
      <c r="H86" s="1">
        <f t="shared" si="47"/>
        <v>30.51</v>
      </c>
      <c r="I86" s="1">
        <f t="shared" si="47"/>
        <v>31.12</v>
      </c>
      <c r="J86" s="1">
        <f t="shared" si="47"/>
        <v>31.74</v>
      </c>
      <c r="K86" s="1">
        <f t="shared" si="47"/>
        <v>32.369999999999997</v>
      </c>
      <c r="L86" s="1">
        <f t="shared" si="47"/>
        <v>33.18</v>
      </c>
    </row>
    <row r="87" spans="1:12" x14ac:dyDescent="0.25">
      <c r="A87" s="140" t="s">
        <v>991</v>
      </c>
      <c r="B87">
        <v>52.4</v>
      </c>
      <c r="C87" s="240" t="s">
        <v>1233</v>
      </c>
      <c r="G87" s="68"/>
      <c r="H87" s="68"/>
      <c r="I87" s="68"/>
      <c r="J87" s="68"/>
      <c r="K87" s="68"/>
      <c r="L87" s="68"/>
    </row>
    <row r="89" spans="1:12" x14ac:dyDescent="0.25">
      <c r="A89" s="356" t="s">
        <v>1063</v>
      </c>
    </row>
    <row r="90" spans="1:12" x14ac:dyDescent="0.25">
      <c r="B90" s="80" t="s">
        <v>741</v>
      </c>
    </row>
    <row r="91" spans="1:12" x14ac:dyDescent="0.25">
      <c r="A91" s="273" t="s">
        <v>744</v>
      </c>
      <c r="B91" s="947">
        <v>1</v>
      </c>
      <c r="C91" s="947">
        <v>2</v>
      </c>
      <c r="D91" s="947">
        <v>3</v>
      </c>
      <c r="E91" s="947">
        <v>4</v>
      </c>
      <c r="F91" s="947">
        <v>5</v>
      </c>
      <c r="G91" s="947">
        <v>6</v>
      </c>
      <c r="H91" s="947">
        <v>7</v>
      </c>
      <c r="I91" s="947">
        <v>8</v>
      </c>
      <c r="J91" s="947">
        <v>9</v>
      </c>
      <c r="K91" s="947">
        <v>10</v>
      </c>
      <c r="L91" s="948">
        <v>11</v>
      </c>
    </row>
    <row r="92" spans="1:12" x14ac:dyDescent="0.25">
      <c r="A92" s="274" t="s">
        <v>50</v>
      </c>
      <c r="B92" s="276">
        <f>ROUND((+B114*1.02),2)</f>
        <v>14.52</v>
      </c>
      <c r="C92" s="276">
        <f t="shared" ref="C92:K92" si="48">ROUND((+C114*1.02),2)</f>
        <v>14.88</v>
      </c>
      <c r="D92" s="276">
        <f t="shared" si="48"/>
        <v>15.25</v>
      </c>
      <c r="E92" s="276">
        <f t="shared" si="48"/>
        <v>15.65</v>
      </c>
      <c r="F92" s="276">
        <f t="shared" si="48"/>
        <v>16.010000000000002</v>
      </c>
      <c r="G92" s="276">
        <f t="shared" si="48"/>
        <v>16.43</v>
      </c>
      <c r="H92" s="276">
        <f t="shared" si="48"/>
        <v>16.8</v>
      </c>
      <c r="I92" s="276">
        <f t="shared" si="48"/>
        <v>17.170000000000002</v>
      </c>
      <c r="J92" s="276">
        <f t="shared" si="48"/>
        <v>17.510000000000002</v>
      </c>
      <c r="K92" s="276">
        <f t="shared" si="48"/>
        <v>17.87</v>
      </c>
    </row>
    <row r="93" spans="1:12" x14ac:dyDescent="0.25">
      <c r="A93" s="274" t="s">
        <v>51</v>
      </c>
      <c r="B93" s="276">
        <f t="shared" ref="B93:K96" si="49">ROUND((+B115*1.02),2)</f>
        <v>17.12</v>
      </c>
      <c r="C93" s="276">
        <f t="shared" si="49"/>
        <v>17.54</v>
      </c>
      <c r="D93" s="276">
        <f t="shared" si="49"/>
        <v>17.98</v>
      </c>
      <c r="E93" s="276">
        <f t="shared" si="49"/>
        <v>18.43</v>
      </c>
      <c r="F93" s="276">
        <f t="shared" si="49"/>
        <v>18.89</v>
      </c>
      <c r="G93" s="276">
        <f t="shared" si="49"/>
        <v>19.37</v>
      </c>
      <c r="H93" s="276">
        <f t="shared" si="49"/>
        <v>19.86</v>
      </c>
      <c r="I93" s="276">
        <f t="shared" si="49"/>
        <v>20.239999999999998</v>
      </c>
      <c r="J93" s="276">
        <f t="shared" si="49"/>
        <v>20.66</v>
      </c>
      <c r="K93" s="276">
        <f t="shared" si="49"/>
        <v>21.07</v>
      </c>
    </row>
    <row r="94" spans="1:12" x14ac:dyDescent="0.25">
      <c r="A94" s="274" t="s">
        <v>52</v>
      </c>
      <c r="B94" s="276">
        <f t="shared" si="49"/>
        <v>18.420000000000002</v>
      </c>
      <c r="C94" s="276">
        <f t="shared" si="49"/>
        <v>18.88</v>
      </c>
      <c r="D94" s="276">
        <f t="shared" si="49"/>
        <v>19.350000000000001</v>
      </c>
      <c r="E94" s="276">
        <f t="shared" si="49"/>
        <v>19.84</v>
      </c>
      <c r="F94" s="276">
        <f t="shared" si="49"/>
        <v>20.32</v>
      </c>
      <c r="G94" s="276">
        <f t="shared" si="49"/>
        <v>20.85</v>
      </c>
      <c r="H94" s="276">
        <f t="shared" si="49"/>
        <v>21.35</v>
      </c>
      <c r="I94" s="276">
        <f t="shared" si="49"/>
        <v>21.79</v>
      </c>
      <c r="J94" s="276">
        <f t="shared" si="49"/>
        <v>22.22</v>
      </c>
      <c r="K94" s="276">
        <f t="shared" si="49"/>
        <v>22.66</v>
      </c>
    </row>
    <row r="95" spans="1:12" x14ac:dyDescent="0.25">
      <c r="A95" s="274" t="s">
        <v>751</v>
      </c>
      <c r="B95" s="276">
        <f t="shared" si="49"/>
        <v>20.07</v>
      </c>
      <c r="C95" s="276">
        <f t="shared" si="49"/>
        <v>20.57</v>
      </c>
      <c r="D95" s="276">
        <f t="shared" si="49"/>
        <v>21.09</v>
      </c>
      <c r="E95" s="276">
        <f t="shared" si="49"/>
        <v>21.61</v>
      </c>
      <c r="F95" s="276">
        <f t="shared" si="49"/>
        <v>22.15</v>
      </c>
      <c r="G95" s="276">
        <f t="shared" si="49"/>
        <v>22.72</v>
      </c>
      <c r="H95" s="276">
        <f t="shared" si="49"/>
        <v>23.29</v>
      </c>
      <c r="I95" s="276">
        <f t="shared" si="49"/>
        <v>23.74</v>
      </c>
      <c r="J95" s="276">
        <f t="shared" si="49"/>
        <v>24.23</v>
      </c>
      <c r="K95" s="276">
        <f t="shared" si="49"/>
        <v>24.7</v>
      </c>
    </row>
    <row r="96" spans="1:12" x14ac:dyDescent="0.25">
      <c r="A96" s="274" t="s">
        <v>750</v>
      </c>
      <c r="B96" s="276">
        <f t="shared" si="49"/>
        <v>21.66</v>
      </c>
      <c r="C96" s="276">
        <f t="shared" si="49"/>
        <v>22.21</v>
      </c>
      <c r="D96" s="276">
        <f t="shared" si="49"/>
        <v>22.77</v>
      </c>
      <c r="E96" s="276">
        <f t="shared" si="49"/>
        <v>23.34</v>
      </c>
      <c r="F96" s="276">
        <f t="shared" si="49"/>
        <v>23.92</v>
      </c>
      <c r="G96" s="276">
        <f t="shared" si="49"/>
        <v>24.51</v>
      </c>
      <c r="H96" s="276">
        <f t="shared" si="49"/>
        <v>25.13</v>
      </c>
      <c r="I96" s="276">
        <f t="shared" si="49"/>
        <v>25.63</v>
      </c>
      <c r="J96" s="276">
        <f t="shared" si="49"/>
        <v>26.15</v>
      </c>
      <c r="K96" s="276">
        <f t="shared" si="49"/>
        <v>26.67</v>
      </c>
    </row>
    <row r="97" spans="1:12" x14ac:dyDescent="0.25">
      <c r="A97" s="274" t="s">
        <v>749</v>
      </c>
      <c r="B97" s="357">
        <f>ROUND((+B119*1.02),0)</f>
        <v>54857</v>
      </c>
      <c r="C97" s="357">
        <f t="shared" ref="C97:K97" si="50">ROUND((+C119*1.02),0)</f>
        <v>56229</v>
      </c>
      <c r="D97" s="357">
        <f t="shared" si="50"/>
        <v>57633</v>
      </c>
      <c r="E97" s="357">
        <f t="shared" si="50"/>
        <v>59074</v>
      </c>
      <c r="F97" s="357">
        <f t="shared" si="50"/>
        <v>60551</v>
      </c>
      <c r="G97" s="357">
        <f t="shared" si="50"/>
        <v>62066</v>
      </c>
      <c r="H97" s="357">
        <f t="shared" si="50"/>
        <v>63306</v>
      </c>
      <c r="I97" s="357">
        <f t="shared" si="50"/>
        <v>64573</v>
      </c>
      <c r="J97" s="357">
        <f t="shared" si="50"/>
        <v>65863</v>
      </c>
      <c r="K97" s="357">
        <f t="shared" si="50"/>
        <v>67180</v>
      </c>
    </row>
    <row r="98" spans="1:12" x14ac:dyDescent="0.25">
      <c r="A98" s="274" t="s">
        <v>748</v>
      </c>
      <c r="B98" s="357">
        <f>ROUND((+B120*1.02),0)</f>
        <v>58291</v>
      </c>
      <c r="C98" s="357">
        <f t="shared" ref="C98:K98" si="51">ROUND((+C120*1.02),0)</f>
        <v>59749</v>
      </c>
      <c r="D98" s="357">
        <f t="shared" si="51"/>
        <v>61243</v>
      </c>
      <c r="E98" s="357">
        <f t="shared" si="51"/>
        <v>62773</v>
      </c>
      <c r="F98" s="357">
        <f t="shared" si="51"/>
        <v>64342</v>
      </c>
      <c r="G98" s="357">
        <f t="shared" si="51"/>
        <v>65951</v>
      </c>
      <c r="H98" s="357">
        <f t="shared" si="51"/>
        <v>67271</v>
      </c>
      <c r="I98" s="357">
        <f t="shared" si="51"/>
        <v>68615</v>
      </c>
      <c r="J98" s="357">
        <f t="shared" si="51"/>
        <v>69988</v>
      </c>
      <c r="K98" s="357">
        <f t="shared" si="51"/>
        <v>71388</v>
      </c>
    </row>
    <row r="99" spans="1:12" x14ac:dyDescent="0.25">
      <c r="A99" s="274"/>
      <c r="B99" s="357"/>
      <c r="C99" s="357"/>
      <c r="D99" s="357"/>
      <c r="E99" s="357"/>
      <c r="F99" s="357"/>
      <c r="G99" s="357"/>
      <c r="H99" s="357"/>
      <c r="I99" s="357"/>
      <c r="J99" s="357"/>
      <c r="K99" s="357"/>
    </row>
    <row r="100" spans="1:12" x14ac:dyDescent="0.25">
      <c r="A100" s="274" t="s">
        <v>747</v>
      </c>
      <c r="B100" s="357">
        <f t="shared" ref="B100:K102" si="52">ROUND((+B121*1.02),0)</f>
        <v>74094</v>
      </c>
      <c r="C100" s="357">
        <f t="shared" si="52"/>
        <v>75944</v>
      </c>
      <c r="D100" s="357">
        <f t="shared" si="52"/>
        <v>77842</v>
      </c>
      <c r="E100" s="357">
        <f t="shared" si="52"/>
        <v>79790</v>
      </c>
      <c r="F100" s="357">
        <f t="shared" si="52"/>
        <v>81784</v>
      </c>
      <c r="G100" s="357">
        <f t="shared" si="52"/>
        <v>83830</v>
      </c>
      <c r="H100" s="357">
        <f t="shared" si="52"/>
        <v>85925</v>
      </c>
      <c r="I100" s="357">
        <f t="shared" si="52"/>
        <v>87644</v>
      </c>
      <c r="J100" s="357">
        <f t="shared" si="52"/>
        <v>89395</v>
      </c>
      <c r="K100" s="357">
        <f t="shared" si="52"/>
        <v>91183</v>
      </c>
    </row>
    <row r="101" spans="1:12" x14ac:dyDescent="0.25">
      <c r="A101" s="274" t="s">
        <v>746</v>
      </c>
      <c r="B101" s="357">
        <f t="shared" si="52"/>
        <v>81501</v>
      </c>
      <c r="C101" s="357">
        <f t="shared" si="52"/>
        <v>83538</v>
      </c>
      <c r="D101" s="357">
        <f t="shared" si="52"/>
        <v>85628</v>
      </c>
      <c r="E101" s="357">
        <f t="shared" si="52"/>
        <v>87768</v>
      </c>
      <c r="F101" s="357">
        <f t="shared" si="52"/>
        <v>89961</v>
      </c>
      <c r="G101" s="357">
        <f t="shared" si="52"/>
        <v>92210</v>
      </c>
      <c r="H101" s="357">
        <f t="shared" si="52"/>
        <v>94515</v>
      </c>
      <c r="I101" s="357">
        <f t="shared" si="52"/>
        <v>96407</v>
      </c>
      <c r="J101" s="357">
        <f t="shared" si="52"/>
        <v>98334</v>
      </c>
      <c r="K101" s="357">
        <f t="shared" si="52"/>
        <v>100301</v>
      </c>
    </row>
    <row r="102" spans="1:12" x14ac:dyDescent="0.25">
      <c r="A102" s="274" t="s">
        <v>745</v>
      </c>
      <c r="B102" s="357">
        <f t="shared" si="52"/>
        <v>89651</v>
      </c>
      <c r="C102" s="357">
        <f t="shared" si="52"/>
        <v>91892</v>
      </c>
      <c r="D102" s="357">
        <f t="shared" si="52"/>
        <v>94191</v>
      </c>
      <c r="E102" s="357">
        <f t="shared" si="52"/>
        <v>96545</v>
      </c>
      <c r="F102" s="357">
        <f t="shared" si="52"/>
        <v>98958</v>
      </c>
      <c r="G102" s="357">
        <f t="shared" si="52"/>
        <v>101433</v>
      </c>
      <c r="H102" s="357">
        <f t="shared" si="52"/>
        <v>103968</v>
      </c>
      <c r="I102" s="357">
        <f t="shared" si="52"/>
        <v>106046</v>
      </c>
      <c r="J102" s="357">
        <f t="shared" si="52"/>
        <v>108168</v>
      </c>
      <c r="K102" s="357">
        <f t="shared" si="52"/>
        <v>110332</v>
      </c>
    </row>
    <row r="104" spans="1:12" x14ac:dyDescent="0.25">
      <c r="A104" s="274" t="s">
        <v>33</v>
      </c>
      <c r="B104" s="368" t="s">
        <v>992</v>
      </c>
      <c r="C104" s="411"/>
      <c r="D104" s="411"/>
      <c r="E104" s="411"/>
    </row>
    <row r="105" spans="1:12" x14ac:dyDescent="0.25">
      <c r="A105" s="273" t="s">
        <v>744</v>
      </c>
      <c r="B105" s="947">
        <v>1</v>
      </c>
      <c r="C105" s="947">
        <v>2</v>
      </c>
      <c r="D105" s="947">
        <v>3</v>
      </c>
      <c r="E105" s="947">
        <v>4</v>
      </c>
      <c r="F105" s="947">
        <v>5</v>
      </c>
      <c r="G105" s="947">
        <v>6</v>
      </c>
      <c r="H105" s="947">
        <v>7</v>
      </c>
      <c r="I105" s="947">
        <v>8</v>
      </c>
      <c r="J105" s="947">
        <v>9</v>
      </c>
      <c r="K105" s="947">
        <v>10</v>
      </c>
      <c r="L105" s="948">
        <v>11</v>
      </c>
    </row>
    <row r="106" spans="1:12" x14ac:dyDescent="0.25">
      <c r="A106" s="344" t="s">
        <v>894</v>
      </c>
      <c r="B106" s="1">
        <f>ROUND((+B97/1820),2)</f>
        <v>30.14</v>
      </c>
      <c r="C106" s="1">
        <f t="shared" ref="C106:K106" si="53">ROUND((+C97/1820),2)</f>
        <v>30.9</v>
      </c>
      <c r="D106" s="1">
        <f t="shared" si="53"/>
        <v>31.67</v>
      </c>
      <c r="E106" s="1">
        <f t="shared" si="53"/>
        <v>32.46</v>
      </c>
      <c r="F106" s="1">
        <f t="shared" si="53"/>
        <v>33.270000000000003</v>
      </c>
      <c r="G106" s="1">
        <f t="shared" si="53"/>
        <v>34.1</v>
      </c>
      <c r="H106" s="1">
        <f t="shared" si="53"/>
        <v>34.78</v>
      </c>
      <c r="I106" s="1">
        <f t="shared" si="53"/>
        <v>35.479999999999997</v>
      </c>
      <c r="J106" s="1">
        <f t="shared" si="53"/>
        <v>36.19</v>
      </c>
      <c r="K106" s="1">
        <f t="shared" si="53"/>
        <v>36.909999999999997</v>
      </c>
    </row>
    <row r="107" spans="1:12" x14ac:dyDescent="0.25">
      <c r="A107" s="344" t="s">
        <v>1029</v>
      </c>
      <c r="B107" s="1">
        <f>ROUND((+B97/2080),2)</f>
        <v>26.37</v>
      </c>
      <c r="C107" s="1">
        <f t="shared" ref="C107:K107" si="54">ROUND((+C97/2080),2)</f>
        <v>27.03</v>
      </c>
      <c r="D107" s="1">
        <f t="shared" si="54"/>
        <v>27.71</v>
      </c>
      <c r="E107" s="1">
        <f t="shared" si="54"/>
        <v>28.4</v>
      </c>
      <c r="F107" s="1">
        <f t="shared" si="54"/>
        <v>29.11</v>
      </c>
      <c r="G107" s="1">
        <f t="shared" si="54"/>
        <v>29.84</v>
      </c>
      <c r="H107" s="1">
        <f t="shared" si="54"/>
        <v>30.44</v>
      </c>
      <c r="I107" s="1">
        <f t="shared" si="54"/>
        <v>31.04</v>
      </c>
      <c r="J107" s="1">
        <f t="shared" si="54"/>
        <v>31.66</v>
      </c>
      <c r="K107" s="1">
        <f t="shared" si="54"/>
        <v>32.299999999999997</v>
      </c>
    </row>
    <row r="108" spans="1:12" x14ac:dyDescent="0.25">
      <c r="A108" s="344" t="s">
        <v>1030</v>
      </c>
      <c r="B108" s="1">
        <f>ROUND((+B97/2080),2)</f>
        <v>26.37</v>
      </c>
      <c r="C108" s="1">
        <f t="shared" ref="C108:K108" si="55">ROUND((+C97/2080),2)</f>
        <v>27.03</v>
      </c>
      <c r="D108" s="1">
        <f t="shared" si="55"/>
        <v>27.71</v>
      </c>
      <c r="E108" s="1">
        <f t="shared" si="55"/>
        <v>28.4</v>
      </c>
      <c r="F108" s="1">
        <f t="shared" si="55"/>
        <v>29.11</v>
      </c>
      <c r="G108" s="1">
        <f t="shared" si="55"/>
        <v>29.84</v>
      </c>
      <c r="H108" s="1">
        <f t="shared" si="55"/>
        <v>30.44</v>
      </c>
      <c r="I108" s="1">
        <f t="shared" si="55"/>
        <v>31.04</v>
      </c>
      <c r="J108" s="1">
        <f t="shared" si="55"/>
        <v>31.66</v>
      </c>
      <c r="K108" s="1">
        <f t="shared" si="55"/>
        <v>32.299999999999997</v>
      </c>
    </row>
    <row r="109" spans="1:12" x14ac:dyDescent="0.25">
      <c r="A109" s="140" t="s">
        <v>991</v>
      </c>
      <c r="G109" s="68">
        <f>ROUND(((+G98*1.085)/52/37.69),2)</f>
        <v>36.51</v>
      </c>
      <c r="H109" s="68">
        <f>ROUND(((+H98*1.085)/52/37.69),2)</f>
        <v>37.24</v>
      </c>
      <c r="I109" s="68">
        <f>ROUND(((+I98*1.085)/52/37.69),2)</f>
        <v>37.99</v>
      </c>
      <c r="J109" s="68">
        <f>ROUND(((+J98*1.085)/52/37.69),2)</f>
        <v>38.75</v>
      </c>
      <c r="K109" s="68">
        <f>ROUND(((+K98*1.085)/52/37.69),2)</f>
        <v>39.520000000000003</v>
      </c>
    </row>
    <row r="111" spans="1:12" x14ac:dyDescent="0.25">
      <c r="A111" s="356" t="s">
        <v>1015</v>
      </c>
    </row>
    <row r="112" spans="1:12" x14ac:dyDescent="0.25">
      <c r="B112" s="80" t="s">
        <v>741</v>
      </c>
    </row>
    <row r="113" spans="1:12" x14ac:dyDescent="0.25">
      <c r="A113" s="273" t="s">
        <v>744</v>
      </c>
      <c r="B113" s="947">
        <v>1</v>
      </c>
      <c r="C113" s="947">
        <v>2</v>
      </c>
      <c r="D113" s="947">
        <v>3</v>
      </c>
      <c r="E113" s="947">
        <v>4</v>
      </c>
      <c r="F113" s="947">
        <v>5</v>
      </c>
      <c r="G113" s="947">
        <v>6</v>
      </c>
      <c r="H113" s="947">
        <v>7</v>
      </c>
      <c r="I113" s="947">
        <v>8</v>
      </c>
      <c r="J113" s="947">
        <v>9</v>
      </c>
      <c r="K113" s="947">
        <v>10</v>
      </c>
      <c r="L113" s="948">
        <v>11</v>
      </c>
    </row>
    <row r="114" spans="1:12" x14ac:dyDescent="0.25">
      <c r="A114" s="274" t="s">
        <v>50</v>
      </c>
      <c r="B114" s="276">
        <f>ROUND((+B135*1.015),2)</f>
        <v>14.24</v>
      </c>
      <c r="C114" s="276">
        <f t="shared" ref="C114:K114" si="56">ROUND((+C135*1.015),2)</f>
        <v>14.59</v>
      </c>
      <c r="D114" s="276">
        <f t="shared" si="56"/>
        <v>14.95</v>
      </c>
      <c r="E114" s="276">
        <f t="shared" si="56"/>
        <v>15.34</v>
      </c>
      <c r="F114" s="276">
        <f t="shared" si="56"/>
        <v>15.7</v>
      </c>
      <c r="G114" s="276">
        <f t="shared" si="56"/>
        <v>16.11</v>
      </c>
      <c r="H114" s="276">
        <f t="shared" si="56"/>
        <v>16.47</v>
      </c>
      <c r="I114" s="276">
        <f t="shared" si="56"/>
        <v>16.829999999999998</v>
      </c>
      <c r="J114" s="276">
        <f t="shared" si="56"/>
        <v>17.170000000000002</v>
      </c>
      <c r="K114" s="276">
        <f t="shared" si="56"/>
        <v>17.52</v>
      </c>
    </row>
    <row r="115" spans="1:12" x14ac:dyDescent="0.25">
      <c r="A115" s="274" t="s">
        <v>51</v>
      </c>
      <c r="B115" s="276">
        <f t="shared" ref="B115:K118" si="57">ROUND((+B136*1.015),2)</f>
        <v>16.78</v>
      </c>
      <c r="C115" s="276">
        <f t="shared" si="57"/>
        <v>17.2</v>
      </c>
      <c r="D115" s="276">
        <f t="shared" si="57"/>
        <v>17.63</v>
      </c>
      <c r="E115" s="276">
        <f t="shared" si="57"/>
        <v>18.07</v>
      </c>
      <c r="F115" s="276">
        <f t="shared" si="57"/>
        <v>18.52</v>
      </c>
      <c r="G115" s="276">
        <f t="shared" si="57"/>
        <v>18.989999999999998</v>
      </c>
      <c r="H115" s="276">
        <f t="shared" si="57"/>
        <v>19.47</v>
      </c>
      <c r="I115" s="276">
        <f t="shared" si="57"/>
        <v>19.84</v>
      </c>
      <c r="J115" s="276">
        <f t="shared" si="57"/>
        <v>20.25</v>
      </c>
      <c r="K115" s="276">
        <f t="shared" si="57"/>
        <v>20.66</v>
      </c>
    </row>
    <row r="116" spans="1:12" x14ac:dyDescent="0.25">
      <c r="A116" s="274" t="s">
        <v>52</v>
      </c>
      <c r="B116" s="276">
        <f t="shared" si="57"/>
        <v>18.059999999999999</v>
      </c>
      <c r="C116" s="276">
        <f t="shared" si="57"/>
        <v>18.510000000000002</v>
      </c>
      <c r="D116" s="276">
        <f t="shared" si="57"/>
        <v>18.97</v>
      </c>
      <c r="E116" s="276">
        <f t="shared" si="57"/>
        <v>19.45</v>
      </c>
      <c r="F116" s="276">
        <f t="shared" si="57"/>
        <v>19.920000000000002</v>
      </c>
      <c r="G116" s="276">
        <f t="shared" si="57"/>
        <v>20.440000000000001</v>
      </c>
      <c r="H116" s="276">
        <f t="shared" si="57"/>
        <v>20.93</v>
      </c>
      <c r="I116" s="276">
        <f t="shared" si="57"/>
        <v>21.36</v>
      </c>
      <c r="J116" s="276">
        <f t="shared" si="57"/>
        <v>21.78</v>
      </c>
      <c r="K116" s="276">
        <f t="shared" si="57"/>
        <v>22.22</v>
      </c>
    </row>
    <row r="117" spans="1:12" x14ac:dyDescent="0.25">
      <c r="A117" s="274" t="s">
        <v>751</v>
      </c>
      <c r="B117" s="276">
        <f t="shared" si="57"/>
        <v>19.68</v>
      </c>
      <c r="C117" s="276">
        <f t="shared" si="57"/>
        <v>20.170000000000002</v>
      </c>
      <c r="D117" s="276">
        <f t="shared" si="57"/>
        <v>20.68</v>
      </c>
      <c r="E117" s="276">
        <f t="shared" si="57"/>
        <v>21.19</v>
      </c>
      <c r="F117" s="276">
        <f t="shared" si="57"/>
        <v>21.72</v>
      </c>
      <c r="G117" s="276">
        <f t="shared" si="57"/>
        <v>22.27</v>
      </c>
      <c r="H117" s="276">
        <f t="shared" si="57"/>
        <v>22.83</v>
      </c>
      <c r="I117" s="276">
        <f t="shared" si="57"/>
        <v>23.27</v>
      </c>
      <c r="J117" s="276">
        <f t="shared" si="57"/>
        <v>23.75</v>
      </c>
      <c r="K117" s="276">
        <f t="shared" si="57"/>
        <v>24.22</v>
      </c>
    </row>
    <row r="118" spans="1:12" x14ac:dyDescent="0.25">
      <c r="A118" s="274" t="s">
        <v>750</v>
      </c>
      <c r="B118" s="276">
        <f t="shared" si="57"/>
        <v>21.24</v>
      </c>
      <c r="C118" s="276">
        <f t="shared" si="57"/>
        <v>21.77</v>
      </c>
      <c r="D118" s="276">
        <f t="shared" si="57"/>
        <v>22.32</v>
      </c>
      <c r="E118" s="276">
        <f t="shared" si="57"/>
        <v>22.88</v>
      </c>
      <c r="F118" s="276">
        <f t="shared" si="57"/>
        <v>23.45</v>
      </c>
      <c r="G118" s="276">
        <f t="shared" si="57"/>
        <v>24.03</v>
      </c>
      <c r="H118" s="276">
        <f t="shared" si="57"/>
        <v>24.64</v>
      </c>
      <c r="I118" s="276">
        <f t="shared" si="57"/>
        <v>25.13</v>
      </c>
      <c r="J118" s="276">
        <f t="shared" si="57"/>
        <v>25.64</v>
      </c>
      <c r="K118" s="276">
        <f t="shared" si="57"/>
        <v>26.15</v>
      </c>
    </row>
    <row r="119" spans="1:12" x14ac:dyDescent="0.25">
      <c r="A119" s="274" t="s">
        <v>749</v>
      </c>
      <c r="B119" s="357">
        <f>ROUND((+B140*1.015),0)</f>
        <v>53781</v>
      </c>
      <c r="C119" s="357">
        <f t="shared" ref="C119:K119" si="58">ROUND((+C140*1.015),0)</f>
        <v>55126</v>
      </c>
      <c r="D119" s="357">
        <f t="shared" si="58"/>
        <v>56503</v>
      </c>
      <c r="E119" s="357">
        <f t="shared" si="58"/>
        <v>57916</v>
      </c>
      <c r="F119" s="357">
        <f t="shared" si="58"/>
        <v>59364</v>
      </c>
      <c r="G119" s="357">
        <f t="shared" si="58"/>
        <v>60849</v>
      </c>
      <c r="H119" s="357">
        <f t="shared" si="58"/>
        <v>62065</v>
      </c>
      <c r="I119" s="357">
        <f t="shared" si="58"/>
        <v>63307</v>
      </c>
      <c r="J119" s="357">
        <f t="shared" si="58"/>
        <v>64572</v>
      </c>
      <c r="K119" s="357">
        <f t="shared" si="58"/>
        <v>65863</v>
      </c>
    </row>
    <row r="120" spans="1:12" x14ac:dyDescent="0.25">
      <c r="A120" s="274" t="s">
        <v>748</v>
      </c>
      <c r="B120" s="357">
        <f t="shared" ref="B120:K123" si="59">ROUND((+B141*1.015),0)</f>
        <v>57148</v>
      </c>
      <c r="C120" s="357">
        <f t="shared" si="59"/>
        <v>58577</v>
      </c>
      <c r="D120" s="357">
        <f t="shared" si="59"/>
        <v>60042</v>
      </c>
      <c r="E120" s="357">
        <f t="shared" si="59"/>
        <v>61542</v>
      </c>
      <c r="F120" s="357">
        <f t="shared" si="59"/>
        <v>63080</v>
      </c>
      <c r="G120" s="357">
        <f t="shared" si="59"/>
        <v>64658</v>
      </c>
      <c r="H120" s="357">
        <f t="shared" si="59"/>
        <v>65952</v>
      </c>
      <c r="I120" s="357">
        <f t="shared" si="59"/>
        <v>67270</v>
      </c>
      <c r="J120" s="357">
        <f t="shared" si="59"/>
        <v>68616</v>
      </c>
      <c r="K120" s="357">
        <f t="shared" si="59"/>
        <v>69988</v>
      </c>
    </row>
    <row r="121" spans="1:12" x14ac:dyDescent="0.25">
      <c r="A121" s="274" t="s">
        <v>747</v>
      </c>
      <c r="B121" s="357">
        <f t="shared" si="59"/>
        <v>72641</v>
      </c>
      <c r="C121" s="357">
        <f t="shared" si="59"/>
        <v>74455</v>
      </c>
      <c r="D121" s="357">
        <f t="shared" si="59"/>
        <v>76316</v>
      </c>
      <c r="E121" s="357">
        <f t="shared" si="59"/>
        <v>78225</v>
      </c>
      <c r="F121" s="357">
        <f t="shared" si="59"/>
        <v>80180</v>
      </c>
      <c r="G121" s="357">
        <f t="shared" si="59"/>
        <v>82186</v>
      </c>
      <c r="H121" s="357">
        <f t="shared" si="59"/>
        <v>84240</v>
      </c>
      <c r="I121" s="357">
        <f t="shared" si="59"/>
        <v>85925</v>
      </c>
      <c r="J121" s="357">
        <f t="shared" si="59"/>
        <v>87642</v>
      </c>
      <c r="K121" s="357">
        <f t="shared" si="59"/>
        <v>89395</v>
      </c>
    </row>
    <row r="122" spans="1:12" x14ac:dyDescent="0.25">
      <c r="A122" s="274" t="s">
        <v>746</v>
      </c>
      <c r="B122" s="357">
        <f t="shared" si="59"/>
        <v>79903</v>
      </c>
      <c r="C122" s="357">
        <f t="shared" si="59"/>
        <v>81900</v>
      </c>
      <c r="D122" s="357">
        <f t="shared" si="59"/>
        <v>83949</v>
      </c>
      <c r="E122" s="357">
        <f t="shared" si="59"/>
        <v>86047</v>
      </c>
      <c r="F122" s="357">
        <f t="shared" si="59"/>
        <v>88197</v>
      </c>
      <c r="G122" s="357">
        <f t="shared" si="59"/>
        <v>90402</v>
      </c>
      <c r="H122" s="357">
        <f t="shared" si="59"/>
        <v>92662</v>
      </c>
      <c r="I122" s="357">
        <f t="shared" si="59"/>
        <v>94517</v>
      </c>
      <c r="J122" s="357">
        <f t="shared" si="59"/>
        <v>96406</v>
      </c>
      <c r="K122" s="357">
        <f t="shared" si="59"/>
        <v>98334</v>
      </c>
    </row>
    <row r="123" spans="1:12" x14ac:dyDescent="0.25">
      <c r="A123" s="274" t="s">
        <v>745</v>
      </c>
      <c r="B123" s="357">
        <f t="shared" si="59"/>
        <v>87893</v>
      </c>
      <c r="C123" s="357">
        <f t="shared" si="59"/>
        <v>90090</v>
      </c>
      <c r="D123" s="357">
        <f t="shared" si="59"/>
        <v>92344</v>
      </c>
      <c r="E123" s="357">
        <f t="shared" si="59"/>
        <v>94652</v>
      </c>
      <c r="F123" s="357">
        <f t="shared" si="59"/>
        <v>97018</v>
      </c>
      <c r="G123" s="357">
        <f t="shared" si="59"/>
        <v>99444</v>
      </c>
      <c r="H123" s="357">
        <f t="shared" si="59"/>
        <v>101929</v>
      </c>
      <c r="I123" s="357">
        <f t="shared" si="59"/>
        <v>103967</v>
      </c>
      <c r="J123" s="357">
        <f t="shared" si="59"/>
        <v>106047</v>
      </c>
      <c r="K123" s="357">
        <f t="shared" si="59"/>
        <v>108169</v>
      </c>
    </row>
    <row r="125" spans="1:12" x14ac:dyDescent="0.25">
      <c r="A125" s="274" t="s">
        <v>33</v>
      </c>
      <c r="B125" s="368" t="s">
        <v>992</v>
      </c>
      <c r="C125" s="411"/>
      <c r="D125" s="411"/>
      <c r="E125" s="411"/>
    </row>
    <row r="126" spans="1:12" x14ac:dyDescent="0.25">
      <c r="A126" s="273" t="s">
        <v>744</v>
      </c>
      <c r="B126" s="947">
        <v>1</v>
      </c>
      <c r="C126" s="947">
        <v>2</v>
      </c>
      <c r="D126" s="947">
        <v>3</v>
      </c>
      <c r="E126" s="947">
        <v>4</v>
      </c>
      <c r="F126" s="947">
        <v>5</v>
      </c>
      <c r="G126" s="947">
        <v>6</v>
      </c>
      <c r="H126" s="947">
        <v>7</v>
      </c>
      <c r="I126" s="947">
        <v>8</v>
      </c>
      <c r="J126" s="947">
        <v>9</v>
      </c>
      <c r="K126" s="947">
        <v>10</v>
      </c>
      <c r="L126" s="948">
        <v>11</v>
      </c>
    </row>
    <row r="127" spans="1:12" x14ac:dyDescent="0.25">
      <c r="A127" s="344" t="s">
        <v>894</v>
      </c>
      <c r="B127" s="1">
        <f>ROUND((+B119/1820),2)</f>
        <v>29.55</v>
      </c>
      <c r="C127" s="1">
        <f t="shared" ref="C127:K127" si="60">ROUND((+C119/1820),2)</f>
        <v>30.29</v>
      </c>
      <c r="D127" s="1">
        <f t="shared" si="60"/>
        <v>31.05</v>
      </c>
      <c r="E127" s="1">
        <f t="shared" si="60"/>
        <v>31.82</v>
      </c>
      <c r="F127" s="1">
        <f t="shared" si="60"/>
        <v>32.619999999999997</v>
      </c>
      <c r="G127" s="1">
        <f t="shared" si="60"/>
        <v>33.43</v>
      </c>
      <c r="H127" s="1">
        <f t="shared" si="60"/>
        <v>34.1</v>
      </c>
      <c r="I127" s="1">
        <f t="shared" si="60"/>
        <v>34.78</v>
      </c>
      <c r="J127" s="1">
        <f t="shared" si="60"/>
        <v>35.479999999999997</v>
      </c>
      <c r="K127" s="1">
        <f t="shared" si="60"/>
        <v>36.19</v>
      </c>
    </row>
    <row r="128" spans="1:12" x14ac:dyDescent="0.25">
      <c r="A128" s="344" t="s">
        <v>1029</v>
      </c>
      <c r="B128" s="1">
        <f>ROUND((+B119/2080),2)</f>
        <v>25.86</v>
      </c>
      <c r="C128" s="1">
        <f t="shared" ref="C128:K128" si="61">ROUND((+C119/2080),2)</f>
        <v>26.5</v>
      </c>
      <c r="D128" s="1">
        <f t="shared" si="61"/>
        <v>27.16</v>
      </c>
      <c r="E128" s="1">
        <f t="shared" si="61"/>
        <v>27.84</v>
      </c>
      <c r="F128" s="1">
        <f t="shared" si="61"/>
        <v>28.54</v>
      </c>
      <c r="G128" s="1">
        <f t="shared" si="61"/>
        <v>29.25</v>
      </c>
      <c r="H128" s="1">
        <f t="shared" si="61"/>
        <v>29.84</v>
      </c>
      <c r="I128" s="1">
        <f t="shared" si="61"/>
        <v>30.44</v>
      </c>
      <c r="J128" s="1">
        <f t="shared" si="61"/>
        <v>31.04</v>
      </c>
      <c r="K128" s="1">
        <f t="shared" si="61"/>
        <v>31.66</v>
      </c>
    </row>
    <row r="129" spans="1:15" x14ac:dyDescent="0.25">
      <c r="A129" s="344" t="s">
        <v>1030</v>
      </c>
      <c r="B129" s="1">
        <f>ROUND((+B119/2080),2)</f>
        <v>25.86</v>
      </c>
      <c r="C129" s="1">
        <f t="shared" ref="C129:K129" si="62">ROUND((+C119/2080),2)</f>
        <v>26.5</v>
      </c>
      <c r="D129" s="1">
        <f t="shared" si="62"/>
        <v>27.16</v>
      </c>
      <c r="E129" s="1">
        <f t="shared" si="62"/>
        <v>27.84</v>
      </c>
      <c r="F129" s="1">
        <f t="shared" si="62"/>
        <v>28.54</v>
      </c>
      <c r="G129" s="1">
        <f t="shared" si="62"/>
        <v>29.25</v>
      </c>
      <c r="H129" s="1">
        <f t="shared" si="62"/>
        <v>29.84</v>
      </c>
      <c r="I129" s="1">
        <f t="shared" si="62"/>
        <v>30.44</v>
      </c>
      <c r="J129" s="1">
        <f t="shared" si="62"/>
        <v>31.04</v>
      </c>
      <c r="K129" s="1">
        <f t="shared" si="62"/>
        <v>31.66</v>
      </c>
    </row>
    <row r="130" spans="1:15" x14ac:dyDescent="0.25">
      <c r="A130" s="140" t="s">
        <v>991</v>
      </c>
      <c r="G130" s="68">
        <f>ROUND(((+G120*1.085)/52/37.69),2)</f>
        <v>35.799999999999997</v>
      </c>
      <c r="H130" s="68">
        <f>ROUND(((+H120*1.085)/52/37.69),2)</f>
        <v>36.51</v>
      </c>
      <c r="I130" s="68">
        <f>ROUND(((+I120*1.085)/52/37.69),2)</f>
        <v>37.24</v>
      </c>
      <c r="J130" s="68">
        <f>ROUND(((+J120*1.085)/52/37.69),2)</f>
        <v>37.99</v>
      </c>
      <c r="K130" s="68">
        <f>ROUND(((+K120*1.085)/52/37.69),2)</f>
        <v>38.75</v>
      </c>
    </row>
    <row r="132" spans="1:15" x14ac:dyDescent="0.25">
      <c r="A132" s="356" t="s">
        <v>990</v>
      </c>
    </row>
    <row r="133" spans="1:15" x14ac:dyDescent="0.25">
      <c r="B133" s="80" t="s">
        <v>741</v>
      </c>
      <c r="M133" s="240" t="s">
        <v>895</v>
      </c>
    </row>
    <row r="134" spans="1:15" x14ac:dyDescent="0.25">
      <c r="A134" s="273" t="s">
        <v>744</v>
      </c>
      <c r="B134" s="947">
        <v>1</v>
      </c>
      <c r="C134" s="947">
        <v>2</v>
      </c>
      <c r="D134" s="947">
        <v>3</v>
      </c>
      <c r="E134" s="947">
        <v>4</v>
      </c>
      <c r="F134" s="947">
        <v>5</v>
      </c>
      <c r="G134" s="947">
        <v>6</v>
      </c>
      <c r="H134" s="947">
        <v>7</v>
      </c>
      <c r="I134" s="947">
        <v>8</v>
      </c>
      <c r="J134" s="947">
        <v>9</v>
      </c>
      <c r="K134" s="947">
        <v>10</v>
      </c>
      <c r="L134" s="948">
        <v>11</v>
      </c>
      <c r="M134" s="240"/>
      <c r="N134" s="358"/>
    </row>
    <row r="135" spans="1:15" x14ac:dyDescent="0.25">
      <c r="A135" s="274" t="s">
        <v>50</v>
      </c>
      <c r="B135" s="276">
        <f>ROUND((+B155*1.01),2)</f>
        <v>14.03</v>
      </c>
      <c r="C135" s="276">
        <f t="shared" ref="C135:K135" si="63">ROUND((+C155*1.01),2)</f>
        <v>14.37</v>
      </c>
      <c r="D135" s="276">
        <f t="shared" si="63"/>
        <v>14.73</v>
      </c>
      <c r="E135" s="276">
        <f t="shared" si="63"/>
        <v>15.11</v>
      </c>
      <c r="F135" s="276">
        <f t="shared" si="63"/>
        <v>15.47</v>
      </c>
      <c r="G135" s="276">
        <f t="shared" si="63"/>
        <v>15.87</v>
      </c>
      <c r="H135" s="276">
        <f t="shared" si="63"/>
        <v>16.23</v>
      </c>
      <c r="I135" s="276">
        <f t="shared" si="63"/>
        <v>16.579999999999998</v>
      </c>
      <c r="J135" s="276">
        <f t="shared" si="63"/>
        <v>16.920000000000002</v>
      </c>
      <c r="K135" s="276">
        <f t="shared" si="63"/>
        <v>17.260000000000002</v>
      </c>
      <c r="M135" s="240"/>
      <c r="N135" s="359"/>
    </row>
    <row r="136" spans="1:15" x14ac:dyDescent="0.25">
      <c r="A136" s="274" t="s">
        <v>51</v>
      </c>
      <c r="B136" s="276">
        <f t="shared" ref="B136:K139" si="64">ROUND((+B156*1.01),2)</f>
        <v>16.53</v>
      </c>
      <c r="C136" s="276">
        <f t="shared" si="64"/>
        <v>16.95</v>
      </c>
      <c r="D136" s="276">
        <f t="shared" si="64"/>
        <v>17.37</v>
      </c>
      <c r="E136" s="276">
        <f t="shared" si="64"/>
        <v>17.8</v>
      </c>
      <c r="F136" s="276">
        <f t="shared" si="64"/>
        <v>18.25</v>
      </c>
      <c r="G136" s="276">
        <f t="shared" si="64"/>
        <v>18.71</v>
      </c>
      <c r="H136" s="276">
        <f t="shared" si="64"/>
        <v>19.18</v>
      </c>
      <c r="I136" s="276">
        <f t="shared" si="64"/>
        <v>19.55</v>
      </c>
      <c r="J136" s="276">
        <f t="shared" si="64"/>
        <v>19.95</v>
      </c>
      <c r="K136" s="276">
        <f t="shared" si="64"/>
        <v>20.350000000000001</v>
      </c>
      <c r="M136" s="240"/>
      <c r="N136" s="359"/>
      <c r="O136" s="240"/>
    </row>
    <row r="137" spans="1:15" x14ac:dyDescent="0.25">
      <c r="A137" s="274" t="s">
        <v>52</v>
      </c>
      <c r="B137" s="276">
        <f t="shared" si="64"/>
        <v>17.79</v>
      </c>
      <c r="C137" s="276">
        <f t="shared" si="64"/>
        <v>18.239999999999998</v>
      </c>
      <c r="D137" s="276">
        <f t="shared" si="64"/>
        <v>18.690000000000001</v>
      </c>
      <c r="E137" s="276">
        <f t="shared" si="64"/>
        <v>19.16</v>
      </c>
      <c r="F137" s="276">
        <f t="shared" si="64"/>
        <v>19.63</v>
      </c>
      <c r="G137" s="276">
        <f t="shared" si="64"/>
        <v>20.14</v>
      </c>
      <c r="H137" s="276">
        <f t="shared" si="64"/>
        <v>20.62</v>
      </c>
      <c r="I137" s="276">
        <f t="shared" si="64"/>
        <v>21.04</v>
      </c>
      <c r="J137" s="276">
        <f t="shared" si="64"/>
        <v>21.46</v>
      </c>
      <c r="K137" s="276">
        <f t="shared" si="64"/>
        <v>21.89</v>
      </c>
      <c r="M137" s="240"/>
      <c r="N137" s="359"/>
    </row>
    <row r="138" spans="1:15" x14ac:dyDescent="0.25">
      <c r="A138" s="274" t="s">
        <v>751</v>
      </c>
      <c r="B138" s="276">
        <f t="shared" si="64"/>
        <v>19.39</v>
      </c>
      <c r="C138" s="276">
        <f t="shared" si="64"/>
        <v>19.87</v>
      </c>
      <c r="D138" s="276">
        <f t="shared" si="64"/>
        <v>20.37</v>
      </c>
      <c r="E138" s="276">
        <f t="shared" si="64"/>
        <v>20.88</v>
      </c>
      <c r="F138" s="276">
        <f t="shared" si="64"/>
        <v>21.4</v>
      </c>
      <c r="G138" s="276">
        <f t="shared" si="64"/>
        <v>21.94</v>
      </c>
      <c r="H138" s="276">
        <f t="shared" si="64"/>
        <v>22.49</v>
      </c>
      <c r="I138" s="276">
        <f t="shared" si="64"/>
        <v>22.93</v>
      </c>
      <c r="J138" s="276">
        <f t="shared" si="64"/>
        <v>23.4</v>
      </c>
      <c r="K138" s="276">
        <f t="shared" si="64"/>
        <v>23.86</v>
      </c>
    </row>
    <row r="139" spans="1:15" x14ac:dyDescent="0.25">
      <c r="A139" s="274" t="s">
        <v>750</v>
      </c>
      <c r="B139" s="276">
        <f t="shared" si="64"/>
        <v>20.93</v>
      </c>
      <c r="C139" s="276">
        <f t="shared" si="64"/>
        <v>21.45</v>
      </c>
      <c r="D139" s="276">
        <f t="shared" si="64"/>
        <v>21.99</v>
      </c>
      <c r="E139" s="276">
        <f t="shared" si="64"/>
        <v>22.54</v>
      </c>
      <c r="F139" s="276">
        <f t="shared" si="64"/>
        <v>23.1</v>
      </c>
      <c r="G139" s="276">
        <f t="shared" si="64"/>
        <v>23.67</v>
      </c>
      <c r="H139" s="276">
        <f t="shared" si="64"/>
        <v>24.28</v>
      </c>
      <c r="I139" s="276">
        <f t="shared" si="64"/>
        <v>24.76</v>
      </c>
      <c r="J139" s="276">
        <f t="shared" si="64"/>
        <v>25.26</v>
      </c>
      <c r="K139" s="276">
        <f t="shared" si="64"/>
        <v>25.76</v>
      </c>
    </row>
    <row r="140" spans="1:15" x14ac:dyDescent="0.25">
      <c r="A140" s="274" t="s">
        <v>749</v>
      </c>
      <c r="B140" s="357">
        <f>ROUND((+B160*1.01),0)</f>
        <v>52986</v>
      </c>
      <c r="C140" s="357">
        <f t="shared" ref="C140:K140" si="65">ROUND((+C160*1.01),0)</f>
        <v>54311</v>
      </c>
      <c r="D140" s="357">
        <f t="shared" si="65"/>
        <v>55668</v>
      </c>
      <c r="E140" s="357">
        <f t="shared" si="65"/>
        <v>57060</v>
      </c>
      <c r="F140" s="357">
        <f t="shared" si="65"/>
        <v>58487</v>
      </c>
      <c r="G140" s="357">
        <f t="shared" si="65"/>
        <v>59950</v>
      </c>
      <c r="H140" s="357">
        <f t="shared" si="65"/>
        <v>61148</v>
      </c>
      <c r="I140" s="357">
        <f t="shared" si="65"/>
        <v>62371</v>
      </c>
      <c r="J140" s="357">
        <f t="shared" si="65"/>
        <v>63618</v>
      </c>
      <c r="K140" s="357">
        <f t="shared" si="65"/>
        <v>64890</v>
      </c>
    </row>
    <row r="141" spans="1:15" x14ac:dyDescent="0.25">
      <c r="A141" s="274" t="s">
        <v>748</v>
      </c>
      <c r="B141" s="357">
        <f t="shared" ref="B141:K144" si="66">ROUND((+B161*1.01),0)</f>
        <v>56303</v>
      </c>
      <c r="C141" s="357">
        <f t="shared" si="66"/>
        <v>57711</v>
      </c>
      <c r="D141" s="357">
        <f t="shared" si="66"/>
        <v>59155</v>
      </c>
      <c r="E141" s="357">
        <f t="shared" si="66"/>
        <v>60633</v>
      </c>
      <c r="F141" s="357">
        <f t="shared" si="66"/>
        <v>62148</v>
      </c>
      <c r="G141" s="357">
        <f t="shared" si="66"/>
        <v>63702</v>
      </c>
      <c r="H141" s="357">
        <f t="shared" si="66"/>
        <v>64977</v>
      </c>
      <c r="I141" s="357">
        <f t="shared" si="66"/>
        <v>66276</v>
      </c>
      <c r="J141" s="357">
        <f t="shared" si="66"/>
        <v>67602</v>
      </c>
      <c r="K141" s="357">
        <f t="shared" si="66"/>
        <v>68954</v>
      </c>
    </row>
    <row r="142" spans="1:15" x14ac:dyDescent="0.25">
      <c r="A142" s="274" t="s">
        <v>747</v>
      </c>
      <c r="B142" s="357">
        <f t="shared" si="66"/>
        <v>71567</v>
      </c>
      <c r="C142" s="357">
        <f t="shared" si="66"/>
        <v>73355</v>
      </c>
      <c r="D142" s="357">
        <f t="shared" si="66"/>
        <v>75188</v>
      </c>
      <c r="E142" s="357">
        <f t="shared" si="66"/>
        <v>77069</v>
      </c>
      <c r="F142" s="357">
        <f t="shared" si="66"/>
        <v>78995</v>
      </c>
      <c r="G142" s="357">
        <f t="shared" si="66"/>
        <v>80971</v>
      </c>
      <c r="H142" s="357">
        <f t="shared" si="66"/>
        <v>82995</v>
      </c>
      <c r="I142" s="357">
        <f t="shared" si="66"/>
        <v>84655</v>
      </c>
      <c r="J142" s="357">
        <f t="shared" si="66"/>
        <v>86347</v>
      </c>
      <c r="K142" s="357">
        <f t="shared" si="66"/>
        <v>88074</v>
      </c>
    </row>
    <row r="143" spans="1:15" x14ac:dyDescent="0.25">
      <c r="A143" s="274" t="s">
        <v>746</v>
      </c>
      <c r="B143" s="357">
        <f t="shared" si="66"/>
        <v>78722</v>
      </c>
      <c r="C143" s="357">
        <f t="shared" si="66"/>
        <v>80690</v>
      </c>
      <c r="D143" s="357">
        <f t="shared" si="66"/>
        <v>82708</v>
      </c>
      <c r="E143" s="357">
        <f t="shared" si="66"/>
        <v>84775</v>
      </c>
      <c r="F143" s="357">
        <f t="shared" si="66"/>
        <v>86894</v>
      </c>
      <c r="G143" s="357">
        <f t="shared" si="66"/>
        <v>89066</v>
      </c>
      <c r="H143" s="357">
        <f t="shared" si="66"/>
        <v>91293</v>
      </c>
      <c r="I143" s="357">
        <f t="shared" si="66"/>
        <v>93120</v>
      </c>
      <c r="J143" s="357">
        <f t="shared" si="66"/>
        <v>94981</v>
      </c>
      <c r="K143" s="357">
        <f t="shared" si="66"/>
        <v>96881</v>
      </c>
    </row>
    <row r="144" spans="1:15" x14ac:dyDescent="0.25">
      <c r="A144" s="274" t="s">
        <v>745</v>
      </c>
      <c r="B144" s="357">
        <f t="shared" si="66"/>
        <v>86594</v>
      </c>
      <c r="C144" s="357">
        <f t="shared" si="66"/>
        <v>88759</v>
      </c>
      <c r="D144" s="357">
        <f t="shared" si="66"/>
        <v>90979</v>
      </c>
      <c r="E144" s="357">
        <f t="shared" si="66"/>
        <v>93253</v>
      </c>
      <c r="F144" s="357">
        <f t="shared" si="66"/>
        <v>95584</v>
      </c>
      <c r="G144" s="357">
        <f t="shared" si="66"/>
        <v>97974</v>
      </c>
      <c r="H144" s="357">
        <f t="shared" si="66"/>
        <v>100423</v>
      </c>
      <c r="I144" s="357">
        <f t="shared" si="66"/>
        <v>102431</v>
      </c>
      <c r="J144" s="357">
        <f t="shared" si="66"/>
        <v>104480</v>
      </c>
      <c r="K144" s="357">
        <f t="shared" si="66"/>
        <v>106570</v>
      </c>
    </row>
    <row r="146" spans="1:12" x14ac:dyDescent="0.25">
      <c r="A146" s="274" t="s">
        <v>33</v>
      </c>
      <c r="B146" s="368" t="s">
        <v>992</v>
      </c>
      <c r="C146" s="411"/>
      <c r="D146" s="411"/>
      <c r="E146" s="411"/>
    </row>
    <row r="147" spans="1:12" x14ac:dyDescent="0.25">
      <c r="A147" s="273" t="s">
        <v>744</v>
      </c>
      <c r="B147" s="947">
        <v>1</v>
      </c>
      <c r="C147" s="947">
        <v>2</v>
      </c>
      <c r="D147" s="947">
        <v>3</v>
      </c>
      <c r="E147" s="947">
        <v>4</v>
      </c>
      <c r="F147" s="947">
        <v>5</v>
      </c>
      <c r="G147" s="947">
        <v>6</v>
      </c>
      <c r="H147" s="947">
        <v>7</v>
      </c>
      <c r="I147" s="947">
        <v>8</v>
      </c>
      <c r="J147" s="947">
        <v>9</v>
      </c>
      <c r="K147" s="947">
        <v>10</v>
      </c>
      <c r="L147" s="948">
        <v>11</v>
      </c>
    </row>
    <row r="148" spans="1:12" x14ac:dyDescent="0.25">
      <c r="A148" s="344" t="s">
        <v>894</v>
      </c>
      <c r="B148" s="1">
        <f>ROUND((+B140/1827),2)</f>
        <v>29</v>
      </c>
      <c r="C148" s="1">
        <f t="shared" ref="C148:K148" si="67">ROUND((+C140/1827),2)</f>
        <v>29.73</v>
      </c>
      <c r="D148" s="1">
        <f t="shared" si="67"/>
        <v>30.47</v>
      </c>
      <c r="E148" s="1">
        <f t="shared" si="67"/>
        <v>31.23</v>
      </c>
      <c r="F148" s="1">
        <f t="shared" si="67"/>
        <v>32.01</v>
      </c>
      <c r="G148" s="1">
        <f t="shared" si="67"/>
        <v>32.81</v>
      </c>
      <c r="H148" s="1">
        <f t="shared" si="67"/>
        <v>33.47</v>
      </c>
      <c r="I148" s="1">
        <f t="shared" si="67"/>
        <v>34.14</v>
      </c>
      <c r="J148" s="1">
        <f t="shared" si="67"/>
        <v>34.82</v>
      </c>
      <c r="K148" s="1">
        <f t="shared" si="67"/>
        <v>35.520000000000003</v>
      </c>
    </row>
    <row r="149" spans="1:12" x14ac:dyDescent="0.25">
      <c r="A149" s="274" t="s">
        <v>637</v>
      </c>
      <c r="B149" s="1">
        <f>ROUND((+B140/2080),2)</f>
        <v>25.47</v>
      </c>
      <c r="C149" s="1">
        <f t="shared" ref="C149:K149" si="68">ROUND((+C140/2080),2)</f>
        <v>26.11</v>
      </c>
      <c r="D149" s="1">
        <f t="shared" si="68"/>
        <v>26.76</v>
      </c>
      <c r="E149" s="1">
        <f t="shared" si="68"/>
        <v>27.43</v>
      </c>
      <c r="F149" s="1">
        <f t="shared" si="68"/>
        <v>28.12</v>
      </c>
      <c r="G149" s="1">
        <f t="shared" si="68"/>
        <v>28.82</v>
      </c>
      <c r="H149" s="1">
        <f t="shared" si="68"/>
        <v>29.4</v>
      </c>
      <c r="I149" s="1">
        <f t="shared" si="68"/>
        <v>29.99</v>
      </c>
      <c r="J149" s="1">
        <f t="shared" si="68"/>
        <v>30.59</v>
      </c>
      <c r="K149" s="1">
        <f t="shared" si="68"/>
        <v>31.2</v>
      </c>
    </row>
    <row r="150" spans="1:12" x14ac:dyDescent="0.25">
      <c r="A150" s="140" t="s">
        <v>991</v>
      </c>
      <c r="G150" s="68">
        <f>ROUND(((+G141*1.085)/52.2/37.69),2)</f>
        <v>35.130000000000003</v>
      </c>
      <c r="H150" s="68">
        <f>ROUND(((+H141*1.085)/52.2/37.69),2)</f>
        <v>35.83</v>
      </c>
      <c r="I150" s="68">
        <f>ROUND(((+I141*1.085)/52.2/37.69),2)</f>
        <v>36.549999999999997</v>
      </c>
      <c r="J150" s="68">
        <f>ROUND(((+J141*1.085)/52.2/37.69),2)</f>
        <v>37.28</v>
      </c>
      <c r="K150" s="68">
        <f>ROUND(((+K141*1.085)/52.2/37.69),2)</f>
        <v>38.03</v>
      </c>
    </row>
    <row r="152" spans="1:12" x14ac:dyDescent="0.25">
      <c r="A152" s="275" t="s">
        <v>791</v>
      </c>
    </row>
    <row r="153" spans="1:12" x14ac:dyDescent="0.25">
      <c r="B153" s="80" t="s">
        <v>741</v>
      </c>
    </row>
    <row r="154" spans="1:12" x14ac:dyDescent="0.25">
      <c r="A154" s="273" t="s">
        <v>744</v>
      </c>
      <c r="B154" s="947">
        <v>1</v>
      </c>
      <c r="C154" s="947">
        <v>2</v>
      </c>
      <c r="D154" s="947">
        <v>3</v>
      </c>
      <c r="E154" s="947">
        <v>4</v>
      </c>
      <c r="F154" s="947">
        <v>5</v>
      </c>
      <c r="G154" s="947">
        <v>6</v>
      </c>
      <c r="H154" s="947">
        <v>7</v>
      </c>
      <c r="I154" s="947">
        <v>8</v>
      </c>
      <c r="J154" s="947">
        <v>9</v>
      </c>
      <c r="K154" s="947">
        <v>10</v>
      </c>
      <c r="L154" s="948">
        <v>11</v>
      </c>
    </row>
    <row r="155" spans="1:12" x14ac:dyDescent="0.25">
      <c r="A155" s="274" t="s">
        <v>50</v>
      </c>
      <c r="B155" s="276">
        <f>ROUND((+B174*1.01),2)</f>
        <v>13.89</v>
      </c>
      <c r="C155" s="276">
        <f t="shared" ref="C155:K155" si="69">ROUND((+C174*1.01),2)</f>
        <v>14.23</v>
      </c>
      <c r="D155" s="276">
        <f t="shared" si="69"/>
        <v>14.58</v>
      </c>
      <c r="E155" s="276">
        <f t="shared" si="69"/>
        <v>14.96</v>
      </c>
      <c r="F155" s="276">
        <f t="shared" si="69"/>
        <v>15.32</v>
      </c>
      <c r="G155" s="276">
        <f t="shared" si="69"/>
        <v>15.71</v>
      </c>
      <c r="H155" s="276">
        <f t="shared" si="69"/>
        <v>16.07</v>
      </c>
      <c r="I155" s="276">
        <f t="shared" si="69"/>
        <v>16.420000000000002</v>
      </c>
      <c r="J155" s="276">
        <f t="shared" si="69"/>
        <v>16.75</v>
      </c>
      <c r="K155" s="276">
        <f t="shared" si="69"/>
        <v>17.09</v>
      </c>
    </row>
    <row r="156" spans="1:12" x14ac:dyDescent="0.25">
      <c r="A156" s="274" t="s">
        <v>51</v>
      </c>
      <c r="B156" s="276">
        <f t="shared" ref="B156:K159" si="70">ROUND((+B175*1.01),2)</f>
        <v>16.37</v>
      </c>
      <c r="C156" s="276">
        <f t="shared" si="70"/>
        <v>16.78</v>
      </c>
      <c r="D156" s="276">
        <f t="shared" si="70"/>
        <v>17.2</v>
      </c>
      <c r="E156" s="276">
        <f t="shared" si="70"/>
        <v>17.62</v>
      </c>
      <c r="F156" s="276">
        <f t="shared" si="70"/>
        <v>18.07</v>
      </c>
      <c r="G156" s="276">
        <f t="shared" si="70"/>
        <v>18.52</v>
      </c>
      <c r="H156" s="276">
        <f t="shared" si="70"/>
        <v>18.989999999999998</v>
      </c>
      <c r="I156" s="276">
        <f t="shared" si="70"/>
        <v>19.36</v>
      </c>
      <c r="J156" s="276">
        <f t="shared" si="70"/>
        <v>19.75</v>
      </c>
      <c r="K156" s="276">
        <f t="shared" si="70"/>
        <v>20.149999999999999</v>
      </c>
    </row>
    <row r="157" spans="1:12" x14ac:dyDescent="0.25">
      <c r="A157" s="274" t="s">
        <v>52</v>
      </c>
      <c r="B157" s="276">
        <f t="shared" si="70"/>
        <v>17.61</v>
      </c>
      <c r="C157" s="276">
        <f t="shared" si="70"/>
        <v>18.059999999999999</v>
      </c>
      <c r="D157" s="276">
        <f t="shared" si="70"/>
        <v>18.5</v>
      </c>
      <c r="E157" s="276">
        <f t="shared" si="70"/>
        <v>18.97</v>
      </c>
      <c r="F157" s="276">
        <f t="shared" si="70"/>
        <v>19.440000000000001</v>
      </c>
      <c r="G157" s="276">
        <f t="shared" si="70"/>
        <v>19.940000000000001</v>
      </c>
      <c r="H157" s="276">
        <f t="shared" si="70"/>
        <v>20.420000000000002</v>
      </c>
      <c r="I157" s="276">
        <f t="shared" si="70"/>
        <v>20.83</v>
      </c>
      <c r="J157" s="276">
        <f t="shared" si="70"/>
        <v>21.25</v>
      </c>
      <c r="K157" s="276">
        <f t="shared" si="70"/>
        <v>21.67</v>
      </c>
    </row>
    <row r="158" spans="1:12" x14ac:dyDescent="0.25">
      <c r="A158" s="274" t="s">
        <v>751</v>
      </c>
      <c r="B158" s="276">
        <f t="shared" si="70"/>
        <v>19.2</v>
      </c>
      <c r="C158" s="276">
        <f t="shared" si="70"/>
        <v>19.670000000000002</v>
      </c>
      <c r="D158" s="276">
        <f t="shared" si="70"/>
        <v>20.170000000000002</v>
      </c>
      <c r="E158" s="276">
        <f t="shared" si="70"/>
        <v>20.67</v>
      </c>
      <c r="F158" s="276">
        <f t="shared" si="70"/>
        <v>21.19</v>
      </c>
      <c r="G158" s="276">
        <f t="shared" si="70"/>
        <v>21.72</v>
      </c>
      <c r="H158" s="276">
        <f t="shared" si="70"/>
        <v>22.27</v>
      </c>
      <c r="I158" s="276">
        <f t="shared" si="70"/>
        <v>22.7</v>
      </c>
      <c r="J158" s="276">
        <f t="shared" si="70"/>
        <v>23.17</v>
      </c>
      <c r="K158" s="276">
        <f t="shared" si="70"/>
        <v>23.62</v>
      </c>
    </row>
    <row r="159" spans="1:12" x14ac:dyDescent="0.25">
      <c r="A159" s="274" t="s">
        <v>750</v>
      </c>
      <c r="B159" s="276">
        <f t="shared" si="70"/>
        <v>20.72</v>
      </c>
      <c r="C159" s="276">
        <f t="shared" si="70"/>
        <v>21.24</v>
      </c>
      <c r="D159" s="276">
        <f t="shared" si="70"/>
        <v>21.77</v>
      </c>
      <c r="E159" s="276">
        <f t="shared" si="70"/>
        <v>22.32</v>
      </c>
      <c r="F159" s="276">
        <f t="shared" si="70"/>
        <v>22.87</v>
      </c>
      <c r="G159" s="276">
        <f t="shared" si="70"/>
        <v>23.44</v>
      </c>
      <c r="H159" s="276">
        <f t="shared" si="70"/>
        <v>24.04</v>
      </c>
      <c r="I159" s="276">
        <f t="shared" si="70"/>
        <v>24.51</v>
      </c>
      <c r="J159" s="276">
        <f t="shared" si="70"/>
        <v>25.01</v>
      </c>
      <c r="K159" s="276">
        <f t="shared" si="70"/>
        <v>25.5</v>
      </c>
    </row>
    <row r="160" spans="1:12" x14ac:dyDescent="0.25">
      <c r="A160" s="274" t="s">
        <v>749</v>
      </c>
      <c r="B160" s="277">
        <f>ROUND((+B179*1.01),0)</f>
        <v>52461</v>
      </c>
      <c r="C160" s="277">
        <f t="shared" ref="C160:K160" si="71">ROUND((+C179*1.01),0)</f>
        <v>53773</v>
      </c>
      <c r="D160" s="277">
        <f t="shared" si="71"/>
        <v>55117</v>
      </c>
      <c r="E160" s="277">
        <f t="shared" si="71"/>
        <v>56495</v>
      </c>
      <c r="F160" s="277">
        <f t="shared" si="71"/>
        <v>57908</v>
      </c>
      <c r="G160" s="277">
        <f t="shared" si="71"/>
        <v>59356</v>
      </c>
      <c r="H160" s="277">
        <f t="shared" si="71"/>
        <v>60543</v>
      </c>
      <c r="I160" s="277">
        <f t="shared" si="71"/>
        <v>61753</v>
      </c>
      <c r="J160" s="277">
        <f t="shared" si="71"/>
        <v>62988</v>
      </c>
      <c r="K160" s="277">
        <f t="shared" si="71"/>
        <v>64248</v>
      </c>
    </row>
    <row r="161" spans="1:12" x14ac:dyDescent="0.25">
      <c r="A161" s="274" t="s">
        <v>748</v>
      </c>
      <c r="B161" s="277">
        <f t="shared" ref="B161:K164" si="72">ROUND((+B180*1.01),0)</f>
        <v>55746</v>
      </c>
      <c r="C161" s="277">
        <f t="shared" si="72"/>
        <v>57140</v>
      </c>
      <c r="D161" s="277">
        <f t="shared" si="72"/>
        <v>58569</v>
      </c>
      <c r="E161" s="277">
        <f t="shared" si="72"/>
        <v>60033</v>
      </c>
      <c r="F161" s="277">
        <f t="shared" si="72"/>
        <v>61533</v>
      </c>
      <c r="G161" s="277">
        <f t="shared" si="72"/>
        <v>63071</v>
      </c>
      <c r="H161" s="277">
        <f t="shared" si="72"/>
        <v>64334</v>
      </c>
      <c r="I161" s="277">
        <f t="shared" si="72"/>
        <v>65620</v>
      </c>
      <c r="J161" s="277">
        <f t="shared" si="72"/>
        <v>66933</v>
      </c>
      <c r="K161" s="277">
        <f t="shared" si="72"/>
        <v>68271</v>
      </c>
    </row>
    <row r="162" spans="1:12" x14ac:dyDescent="0.25">
      <c r="A162" s="274" t="s">
        <v>747</v>
      </c>
      <c r="B162" s="277">
        <f t="shared" si="72"/>
        <v>70858</v>
      </c>
      <c r="C162" s="277">
        <f t="shared" si="72"/>
        <v>72629</v>
      </c>
      <c r="D162" s="277">
        <f t="shared" si="72"/>
        <v>74444</v>
      </c>
      <c r="E162" s="277">
        <f t="shared" si="72"/>
        <v>76306</v>
      </c>
      <c r="F162" s="277">
        <f t="shared" si="72"/>
        <v>78213</v>
      </c>
      <c r="G162" s="277">
        <f t="shared" si="72"/>
        <v>80169</v>
      </c>
      <c r="H162" s="277">
        <f t="shared" si="72"/>
        <v>82173</v>
      </c>
      <c r="I162" s="277">
        <f t="shared" si="72"/>
        <v>83817</v>
      </c>
      <c r="J162" s="277">
        <f t="shared" si="72"/>
        <v>85492</v>
      </c>
      <c r="K162" s="277">
        <f t="shared" si="72"/>
        <v>87202</v>
      </c>
    </row>
    <row r="163" spans="1:12" x14ac:dyDescent="0.25">
      <c r="A163" s="274" t="s">
        <v>746</v>
      </c>
      <c r="B163" s="277">
        <f t="shared" si="72"/>
        <v>77943</v>
      </c>
      <c r="C163" s="277">
        <f t="shared" si="72"/>
        <v>79891</v>
      </c>
      <c r="D163" s="277">
        <f t="shared" si="72"/>
        <v>81889</v>
      </c>
      <c r="E163" s="277">
        <f t="shared" si="72"/>
        <v>83936</v>
      </c>
      <c r="F163" s="277">
        <f t="shared" si="72"/>
        <v>86034</v>
      </c>
      <c r="G163" s="277">
        <f t="shared" si="72"/>
        <v>88184</v>
      </c>
      <c r="H163" s="277">
        <f t="shared" si="72"/>
        <v>90389</v>
      </c>
      <c r="I163" s="277">
        <f t="shared" si="72"/>
        <v>92198</v>
      </c>
      <c r="J163" s="277">
        <f t="shared" si="72"/>
        <v>94041</v>
      </c>
      <c r="K163" s="277">
        <f t="shared" si="72"/>
        <v>95922</v>
      </c>
    </row>
    <row r="164" spans="1:12" x14ac:dyDescent="0.25">
      <c r="A164" s="274" t="s">
        <v>745</v>
      </c>
      <c r="B164" s="277">
        <f t="shared" si="72"/>
        <v>85737</v>
      </c>
      <c r="C164" s="277">
        <f t="shared" si="72"/>
        <v>87880</v>
      </c>
      <c r="D164" s="277">
        <f t="shared" si="72"/>
        <v>90078</v>
      </c>
      <c r="E164" s="277">
        <f t="shared" si="72"/>
        <v>92330</v>
      </c>
      <c r="F164" s="277">
        <f t="shared" si="72"/>
        <v>94638</v>
      </c>
      <c r="G164" s="277">
        <f t="shared" si="72"/>
        <v>97004</v>
      </c>
      <c r="H164" s="277">
        <f t="shared" si="72"/>
        <v>99429</v>
      </c>
      <c r="I164" s="277">
        <f t="shared" si="72"/>
        <v>101417</v>
      </c>
      <c r="J164" s="277">
        <f t="shared" si="72"/>
        <v>103446</v>
      </c>
      <c r="K164" s="277">
        <f t="shared" si="72"/>
        <v>105515</v>
      </c>
    </row>
    <row r="166" spans="1:12" x14ac:dyDescent="0.25">
      <c r="A166" s="274" t="s">
        <v>33</v>
      </c>
      <c r="B166" s="80" t="s">
        <v>755</v>
      </c>
    </row>
    <row r="167" spans="1:12" x14ac:dyDescent="0.25">
      <c r="A167" s="273" t="s">
        <v>744</v>
      </c>
      <c r="B167" s="947">
        <v>1</v>
      </c>
      <c r="C167" s="947">
        <v>2</v>
      </c>
      <c r="D167" s="947">
        <v>3</v>
      </c>
      <c r="E167" s="947">
        <v>4</v>
      </c>
      <c r="F167" s="947">
        <v>5</v>
      </c>
      <c r="G167" s="947">
        <v>6</v>
      </c>
      <c r="H167" s="947">
        <v>7</v>
      </c>
      <c r="I167" s="947">
        <v>8</v>
      </c>
      <c r="J167" s="947">
        <v>9</v>
      </c>
      <c r="K167" s="947">
        <v>10</v>
      </c>
      <c r="L167" s="948">
        <v>11</v>
      </c>
    </row>
    <row r="168" spans="1:12" x14ac:dyDescent="0.25">
      <c r="A168" s="274" t="s">
        <v>749</v>
      </c>
      <c r="B168" s="1">
        <f>ROUND((+B160/1834),2)</f>
        <v>28.6</v>
      </c>
      <c r="C168" s="1">
        <f t="shared" ref="C168:K168" si="73">ROUND((+C160/1827),2)</f>
        <v>29.43</v>
      </c>
      <c r="D168" s="1">
        <f t="shared" si="73"/>
        <v>30.17</v>
      </c>
      <c r="E168" s="1">
        <f t="shared" si="73"/>
        <v>30.92</v>
      </c>
      <c r="F168" s="1">
        <f t="shared" si="73"/>
        <v>31.7</v>
      </c>
      <c r="G168" s="1">
        <f t="shared" si="73"/>
        <v>32.49</v>
      </c>
      <c r="H168" s="1">
        <f t="shared" si="73"/>
        <v>33.14</v>
      </c>
      <c r="I168" s="1">
        <f t="shared" si="73"/>
        <v>33.799999999999997</v>
      </c>
      <c r="J168" s="1">
        <f t="shared" si="73"/>
        <v>34.479999999999997</v>
      </c>
      <c r="K168" s="1">
        <f t="shared" si="73"/>
        <v>35.17</v>
      </c>
    </row>
    <row r="169" spans="1:12" x14ac:dyDescent="0.25">
      <c r="A169" s="274" t="s">
        <v>637</v>
      </c>
      <c r="B169" s="1">
        <f>ROUND((+B160/2100),2)</f>
        <v>24.98</v>
      </c>
      <c r="C169" s="1">
        <f t="shared" ref="C169:K169" si="74">ROUND((+C160/2100),2)</f>
        <v>25.61</v>
      </c>
      <c r="D169" s="1">
        <f t="shared" si="74"/>
        <v>26.25</v>
      </c>
      <c r="E169" s="1">
        <f t="shared" si="74"/>
        <v>26.9</v>
      </c>
      <c r="F169" s="1">
        <f t="shared" si="74"/>
        <v>27.58</v>
      </c>
      <c r="G169" s="1">
        <f t="shared" si="74"/>
        <v>28.26</v>
      </c>
      <c r="H169" s="1">
        <f t="shared" si="74"/>
        <v>28.83</v>
      </c>
      <c r="I169" s="1">
        <f t="shared" si="74"/>
        <v>29.41</v>
      </c>
      <c r="J169" s="1">
        <f t="shared" si="74"/>
        <v>29.99</v>
      </c>
      <c r="K169" s="1">
        <f t="shared" si="74"/>
        <v>30.59</v>
      </c>
    </row>
    <row r="170" spans="1:12" x14ac:dyDescent="0.25">
      <c r="A170" s="140" t="s">
        <v>991</v>
      </c>
      <c r="G170" s="68">
        <f>ROUND(((+G161*1.085)/52.2/37.69),2)</f>
        <v>34.78</v>
      </c>
      <c r="H170" s="68">
        <f>ROUND(((+H161*1.085)/52.2/37.69),2)</f>
        <v>35.479999999999997</v>
      </c>
      <c r="I170" s="68">
        <f>ROUND(((+I161*1.085)/52.2/37.69),2)</f>
        <v>36.19</v>
      </c>
      <c r="J170" s="68">
        <f>ROUND(((+J161*1.085)/52.2/37.69),2)</f>
        <v>36.909999999999997</v>
      </c>
      <c r="K170" s="68">
        <f>ROUND(((+K161*1.085)/52.2/37.69),2)</f>
        <v>37.65</v>
      </c>
    </row>
    <row r="171" spans="1:12" ht="27.75" customHeight="1" x14ac:dyDescent="0.25">
      <c r="A171" s="275" t="s">
        <v>786</v>
      </c>
    </row>
    <row r="172" spans="1:12" x14ac:dyDescent="0.25">
      <c r="B172" s="80" t="s">
        <v>741</v>
      </c>
    </row>
    <row r="173" spans="1:12" x14ac:dyDescent="0.25">
      <c r="A173" s="273" t="s">
        <v>744</v>
      </c>
      <c r="B173" s="947">
        <v>1</v>
      </c>
      <c r="C173" s="947">
        <v>2</v>
      </c>
      <c r="D173" s="947">
        <v>3</v>
      </c>
      <c r="E173" s="947">
        <v>4</v>
      </c>
      <c r="F173" s="947">
        <v>5</v>
      </c>
      <c r="G173" s="947">
        <v>6</v>
      </c>
      <c r="H173" s="947">
        <v>7</v>
      </c>
      <c r="I173" s="947">
        <v>8</v>
      </c>
      <c r="J173" s="947">
        <v>9</v>
      </c>
      <c r="K173" s="947">
        <v>10</v>
      </c>
      <c r="L173" s="948">
        <v>11</v>
      </c>
    </row>
    <row r="174" spans="1:12" x14ac:dyDescent="0.25">
      <c r="A174" s="274" t="s">
        <v>50</v>
      </c>
      <c r="B174" s="276">
        <f>ROUND((+B201*1.01),2)</f>
        <v>13.75</v>
      </c>
      <c r="C174" s="276">
        <f t="shared" ref="C174:K174" si="75">ROUND((+C201*1.01),2)</f>
        <v>14.09</v>
      </c>
      <c r="D174" s="276">
        <f t="shared" si="75"/>
        <v>14.44</v>
      </c>
      <c r="E174" s="276">
        <f t="shared" si="75"/>
        <v>14.81</v>
      </c>
      <c r="F174" s="276">
        <f t="shared" si="75"/>
        <v>15.17</v>
      </c>
      <c r="G174" s="276">
        <f t="shared" si="75"/>
        <v>15.55</v>
      </c>
      <c r="H174" s="276">
        <f t="shared" si="75"/>
        <v>15.91</v>
      </c>
      <c r="I174" s="276">
        <f t="shared" si="75"/>
        <v>16.260000000000002</v>
      </c>
      <c r="J174" s="276">
        <f t="shared" si="75"/>
        <v>16.579999999999998</v>
      </c>
      <c r="K174" s="276">
        <f t="shared" si="75"/>
        <v>16.920000000000002</v>
      </c>
    </row>
    <row r="175" spans="1:12" x14ac:dyDescent="0.25">
      <c r="A175" s="274" t="s">
        <v>51</v>
      </c>
      <c r="B175" s="276">
        <f>ROUND((+B200*1.01),2)</f>
        <v>16.21</v>
      </c>
      <c r="C175" s="276">
        <f t="shared" ref="C175:K175" si="76">ROUND((+C200*1.01),2)</f>
        <v>16.61</v>
      </c>
      <c r="D175" s="276">
        <f t="shared" si="76"/>
        <v>17.03</v>
      </c>
      <c r="E175" s="276">
        <f t="shared" si="76"/>
        <v>17.45</v>
      </c>
      <c r="F175" s="276">
        <f t="shared" si="76"/>
        <v>17.89</v>
      </c>
      <c r="G175" s="276">
        <f t="shared" si="76"/>
        <v>18.34</v>
      </c>
      <c r="H175" s="276">
        <f t="shared" si="76"/>
        <v>18.8</v>
      </c>
      <c r="I175" s="276">
        <f t="shared" si="76"/>
        <v>19.170000000000002</v>
      </c>
      <c r="J175" s="276">
        <f t="shared" si="76"/>
        <v>19.55</v>
      </c>
      <c r="K175" s="276">
        <f t="shared" si="76"/>
        <v>19.95</v>
      </c>
    </row>
    <row r="176" spans="1:12" x14ac:dyDescent="0.25">
      <c r="A176" s="274" t="s">
        <v>52</v>
      </c>
      <c r="B176" s="276">
        <f>ROUND((+B199*1.01),2)</f>
        <v>17.440000000000001</v>
      </c>
      <c r="C176" s="276">
        <f t="shared" ref="C176:K176" si="77">ROUND((+C199*1.01),2)</f>
        <v>17.88</v>
      </c>
      <c r="D176" s="276">
        <f t="shared" si="77"/>
        <v>18.32</v>
      </c>
      <c r="E176" s="276">
        <f t="shared" si="77"/>
        <v>18.78</v>
      </c>
      <c r="F176" s="276">
        <f t="shared" si="77"/>
        <v>19.25</v>
      </c>
      <c r="G176" s="276">
        <f t="shared" si="77"/>
        <v>19.739999999999998</v>
      </c>
      <c r="H176" s="276">
        <f t="shared" si="77"/>
        <v>20.22</v>
      </c>
      <c r="I176" s="276">
        <f t="shared" si="77"/>
        <v>20.62</v>
      </c>
      <c r="J176" s="276">
        <f t="shared" si="77"/>
        <v>21.04</v>
      </c>
      <c r="K176" s="276">
        <f t="shared" si="77"/>
        <v>21.46</v>
      </c>
    </row>
    <row r="177" spans="1:12" x14ac:dyDescent="0.25">
      <c r="A177" s="274" t="s">
        <v>751</v>
      </c>
      <c r="B177" s="276">
        <f>ROUND((+B198*1.01),2)</f>
        <v>19.010000000000002</v>
      </c>
      <c r="C177" s="276">
        <f t="shared" ref="C177:K177" si="78">ROUND((+C198*1.01),2)</f>
        <v>19.48</v>
      </c>
      <c r="D177" s="276">
        <f t="shared" si="78"/>
        <v>19.97</v>
      </c>
      <c r="E177" s="276">
        <f t="shared" si="78"/>
        <v>20.47</v>
      </c>
      <c r="F177" s="276">
        <f t="shared" si="78"/>
        <v>20.98</v>
      </c>
      <c r="G177" s="276">
        <f t="shared" si="78"/>
        <v>21.5</v>
      </c>
      <c r="H177" s="276">
        <f t="shared" si="78"/>
        <v>22.05</v>
      </c>
      <c r="I177" s="276">
        <f t="shared" si="78"/>
        <v>22.48</v>
      </c>
      <c r="J177" s="276">
        <f t="shared" si="78"/>
        <v>22.94</v>
      </c>
      <c r="K177" s="276">
        <f t="shared" si="78"/>
        <v>23.39</v>
      </c>
    </row>
    <row r="178" spans="1:12" x14ac:dyDescent="0.25">
      <c r="A178" s="274" t="s">
        <v>750</v>
      </c>
      <c r="B178" s="276">
        <f>ROUND((+B197*1.01),2)</f>
        <v>20.51</v>
      </c>
      <c r="C178" s="276">
        <f t="shared" ref="C178:K178" si="79">ROUND((+C197*1.01),2)</f>
        <v>21.03</v>
      </c>
      <c r="D178" s="276">
        <f t="shared" si="79"/>
        <v>21.55</v>
      </c>
      <c r="E178" s="276">
        <f t="shared" si="79"/>
        <v>22.1</v>
      </c>
      <c r="F178" s="276">
        <f t="shared" si="79"/>
        <v>22.64</v>
      </c>
      <c r="G178" s="276">
        <f t="shared" si="79"/>
        <v>23.21</v>
      </c>
      <c r="H178" s="276">
        <f t="shared" si="79"/>
        <v>23.8</v>
      </c>
      <c r="I178" s="276">
        <f t="shared" si="79"/>
        <v>24.27</v>
      </c>
      <c r="J178" s="276">
        <f t="shared" si="79"/>
        <v>24.76</v>
      </c>
      <c r="K178" s="276">
        <f t="shared" si="79"/>
        <v>25.25</v>
      </c>
    </row>
    <row r="179" spans="1:12" x14ac:dyDescent="0.25">
      <c r="A179" s="274" t="s">
        <v>749</v>
      </c>
      <c r="B179" s="277">
        <f>ROUND((+B196*1.01),0)</f>
        <v>51942</v>
      </c>
      <c r="C179" s="277">
        <f t="shared" ref="C179:K179" si="80">ROUND((+C196*1.01),0)</f>
        <v>53241</v>
      </c>
      <c r="D179" s="277">
        <f t="shared" si="80"/>
        <v>54571</v>
      </c>
      <c r="E179" s="277">
        <f t="shared" si="80"/>
        <v>55936</v>
      </c>
      <c r="F179" s="277">
        <f t="shared" si="80"/>
        <v>57335</v>
      </c>
      <c r="G179" s="277">
        <f t="shared" si="80"/>
        <v>58768</v>
      </c>
      <c r="H179" s="277">
        <f t="shared" si="80"/>
        <v>59944</v>
      </c>
      <c r="I179" s="277">
        <f t="shared" si="80"/>
        <v>61142</v>
      </c>
      <c r="J179" s="277">
        <f t="shared" si="80"/>
        <v>62364</v>
      </c>
      <c r="K179" s="277">
        <f t="shared" si="80"/>
        <v>63612</v>
      </c>
    </row>
    <row r="180" spans="1:12" x14ac:dyDescent="0.25">
      <c r="A180" s="274" t="s">
        <v>748</v>
      </c>
      <c r="B180" s="277">
        <f>ROUND((+B195*1.01),0)</f>
        <v>55194</v>
      </c>
      <c r="C180" s="277">
        <f t="shared" ref="C180:K180" si="81">ROUND((+C195*1.01),0)</f>
        <v>56574</v>
      </c>
      <c r="D180" s="277">
        <f t="shared" si="81"/>
        <v>57989</v>
      </c>
      <c r="E180" s="277">
        <f t="shared" si="81"/>
        <v>59439</v>
      </c>
      <c r="F180" s="277">
        <f t="shared" si="81"/>
        <v>60924</v>
      </c>
      <c r="G180" s="277">
        <f t="shared" si="81"/>
        <v>62447</v>
      </c>
      <c r="H180" s="277">
        <f t="shared" si="81"/>
        <v>63697</v>
      </c>
      <c r="I180" s="277">
        <f t="shared" si="81"/>
        <v>64970</v>
      </c>
      <c r="J180" s="277">
        <f t="shared" si="81"/>
        <v>66270</v>
      </c>
      <c r="K180" s="277">
        <f t="shared" si="81"/>
        <v>67595</v>
      </c>
    </row>
    <row r="181" spans="1:12" x14ac:dyDescent="0.25">
      <c r="A181" s="274" t="s">
        <v>747</v>
      </c>
      <c r="B181" s="277">
        <f>ROUND((+B194*1.01),0)</f>
        <v>70156</v>
      </c>
      <c r="C181" s="277">
        <f t="shared" ref="C181:K181" si="82">ROUND((+C194*1.01),0)</f>
        <v>71910</v>
      </c>
      <c r="D181" s="277">
        <f t="shared" si="82"/>
        <v>73707</v>
      </c>
      <c r="E181" s="277">
        <f t="shared" si="82"/>
        <v>75550</v>
      </c>
      <c r="F181" s="277">
        <f t="shared" si="82"/>
        <v>77439</v>
      </c>
      <c r="G181" s="277">
        <f t="shared" si="82"/>
        <v>79375</v>
      </c>
      <c r="H181" s="277">
        <f t="shared" si="82"/>
        <v>81359</v>
      </c>
      <c r="I181" s="277">
        <f t="shared" si="82"/>
        <v>82987</v>
      </c>
      <c r="J181" s="277">
        <f t="shared" si="82"/>
        <v>84646</v>
      </c>
      <c r="K181" s="277">
        <f t="shared" si="82"/>
        <v>86339</v>
      </c>
    </row>
    <row r="182" spans="1:12" x14ac:dyDescent="0.25">
      <c r="A182" s="274" t="s">
        <v>746</v>
      </c>
      <c r="B182" s="277">
        <f>ROUND((+B193*1.01),0)</f>
        <v>77171</v>
      </c>
      <c r="C182" s="277">
        <f t="shared" ref="C182:K182" si="83">ROUND((+C193*1.01),0)</f>
        <v>79100</v>
      </c>
      <c r="D182" s="277">
        <f t="shared" si="83"/>
        <v>81078</v>
      </c>
      <c r="E182" s="277">
        <f t="shared" si="83"/>
        <v>83105</v>
      </c>
      <c r="F182" s="277">
        <f t="shared" si="83"/>
        <v>85182</v>
      </c>
      <c r="G182" s="277">
        <f t="shared" si="83"/>
        <v>87311</v>
      </c>
      <c r="H182" s="277">
        <f t="shared" si="83"/>
        <v>89494</v>
      </c>
      <c r="I182" s="277">
        <f t="shared" si="83"/>
        <v>91285</v>
      </c>
      <c r="J182" s="277">
        <f t="shared" si="83"/>
        <v>93110</v>
      </c>
      <c r="K182" s="277">
        <f t="shared" si="83"/>
        <v>94972</v>
      </c>
    </row>
    <row r="183" spans="1:12" x14ac:dyDescent="0.25">
      <c r="A183" s="274" t="s">
        <v>745</v>
      </c>
      <c r="B183" s="277">
        <f>ROUND((+B192*1.01),0)</f>
        <v>84888</v>
      </c>
      <c r="C183" s="277">
        <f t="shared" ref="C183:K183" si="84">ROUND((+C192*1.01),0)</f>
        <v>87010</v>
      </c>
      <c r="D183" s="277">
        <f t="shared" si="84"/>
        <v>89186</v>
      </c>
      <c r="E183" s="277">
        <f t="shared" si="84"/>
        <v>91416</v>
      </c>
      <c r="F183" s="277">
        <f t="shared" si="84"/>
        <v>93701</v>
      </c>
      <c r="G183" s="277">
        <f t="shared" si="84"/>
        <v>96044</v>
      </c>
      <c r="H183" s="277">
        <f t="shared" si="84"/>
        <v>98445</v>
      </c>
      <c r="I183" s="277">
        <f t="shared" si="84"/>
        <v>100413</v>
      </c>
      <c r="J183" s="277">
        <f t="shared" si="84"/>
        <v>102422</v>
      </c>
      <c r="K183" s="277">
        <f t="shared" si="84"/>
        <v>104470</v>
      </c>
    </row>
    <row r="185" spans="1:12" x14ac:dyDescent="0.25">
      <c r="A185" s="274" t="s">
        <v>33</v>
      </c>
      <c r="B185" s="80" t="s">
        <v>755</v>
      </c>
    </row>
    <row r="186" spans="1:12" x14ac:dyDescent="0.25">
      <c r="A186" s="273" t="s">
        <v>744</v>
      </c>
      <c r="B186" s="947">
        <v>1</v>
      </c>
      <c r="C186" s="947">
        <v>2</v>
      </c>
      <c r="D186" s="947">
        <v>3</v>
      </c>
      <c r="E186" s="947">
        <v>4</v>
      </c>
      <c r="F186" s="947">
        <v>5</v>
      </c>
      <c r="G186" s="947">
        <v>6</v>
      </c>
      <c r="H186" s="947">
        <v>7</v>
      </c>
      <c r="I186" s="947">
        <v>8</v>
      </c>
      <c r="J186" s="947">
        <v>9</v>
      </c>
      <c r="K186" s="947">
        <v>10</v>
      </c>
      <c r="L186" s="948">
        <v>11</v>
      </c>
    </row>
    <row r="187" spans="1:12" x14ac:dyDescent="0.25">
      <c r="A187" s="274" t="s">
        <v>749</v>
      </c>
      <c r="B187" s="1">
        <f>ROUND((+B179/1827),2)</f>
        <v>28.43</v>
      </c>
      <c r="C187" s="1">
        <f t="shared" ref="C187:K187" si="85">ROUND((+C179/1827),2)</f>
        <v>29.14</v>
      </c>
      <c r="D187" s="1">
        <f t="shared" si="85"/>
        <v>29.87</v>
      </c>
      <c r="E187" s="1">
        <f t="shared" si="85"/>
        <v>30.62</v>
      </c>
      <c r="F187" s="1">
        <f t="shared" si="85"/>
        <v>31.38</v>
      </c>
      <c r="G187" s="1">
        <f t="shared" si="85"/>
        <v>32.17</v>
      </c>
      <c r="H187" s="1">
        <f t="shared" si="85"/>
        <v>32.81</v>
      </c>
      <c r="I187" s="1">
        <f t="shared" si="85"/>
        <v>33.47</v>
      </c>
      <c r="J187" s="1">
        <f t="shared" si="85"/>
        <v>34.130000000000003</v>
      </c>
      <c r="K187" s="1">
        <f t="shared" si="85"/>
        <v>34.82</v>
      </c>
    </row>
    <row r="188" spans="1:12" x14ac:dyDescent="0.25">
      <c r="A188" s="274" t="s">
        <v>637</v>
      </c>
      <c r="B188" s="1">
        <f>ROUND((+B179/2090),2)</f>
        <v>24.85</v>
      </c>
      <c r="C188" s="1">
        <f t="shared" ref="C188:K188" si="86">ROUND((+C179/2090),2)</f>
        <v>25.47</v>
      </c>
      <c r="D188" s="1">
        <f t="shared" si="86"/>
        <v>26.11</v>
      </c>
      <c r="E188" s="1">
        <f t="shared" si="86"/>
        <v>26.76</v>
      </c>
      <c r="F188" s="1">
        <f t="shared" si="86"/>
        <v>27.43</v>
      </c>
      <c r="G188" s="1">
        <f t="shared" si="86"/>
        <v>28.12</v>
      </c>
      <c r="H188" s="1">
        <f t="shared" si="86"/>
        <v>28.68</v>
      </c>
      <c r="I188" s="1">
        <f t="shared" si="86"/>
        <v>29.25</v>
      </c>
      <c r="J188" s="1">
        <f t="shared" si="86"/>
        <v>29.84</v>
      </c>
      <c r="K188" s="1">
        <f t="shared" si="86"/>
        <v>30.44</v>
      </c>
    </row>
    <row r="190" spans="1:12" x14ac:dyDescent="0.25">
      <c r="A190" s="278" t="s">
        <v>77</v>
      </c>
      <c r="B190" s="279"/>
      <c r="C190" s="279"/>
      <c r="D190" s="279"/>
      <c r="E190" s="279"/>
      <c r="F190" s="279"/>
      <c r="G190" s="279"/>
      <c r="H190" s="279"/>
      <c r="I190" s="279"/>
      <c r="J190" s="279"/>
      <c r="K190" s="279"/>
    </row>
    <row r="191" spans="1:12" x14ac:dyDescent="0.25">
      <c r="A191" s="278" t="s">
        <v>744</v>
      </c>
      <c r="B191" s="947">
        <v>1</v>
      </c>
      <c r="C191" s="947">
        <v>2</v>
      </c>
      <c r="D191" s="947">
        <v>3</v>
      </c>
      <c r="E191" s="947">
        <v>4</v>
      </c>
      <c r="F191" s="947">
        <v>5</v>
      </c>
      <c r="G191" s="947">
        <v>6</v>
      </c>
      <c r="H191" s="947">
        <v>7</v>
      </c>
      <c r="I191" s="947">
        <v>8</v>
      </c>
      <c r="J191" s="947">
        <v>9</v>
      </c>
      <c r="K191" s="947">
        <v>10</v>
      </c>
      <c r="L191" s="948">
        <v>11</v>
      </c>
    </row>
    <row r="192" spans="1:12" x14ac:dyDescent="0.25">
      <c r="A192" s="278" t="s">
        <v>745</v>
      </c>
      <c r="B192" s="280">
        <v>84048</v>
      </c>
      <c r="C192" s="280">
        <v>86149</v>
      </c>
      <c r="D192" s="280">
        <v>88303</v>
      </c>
      <c r="E192" s="280">
        <v>90511</v>
      </c>
      <c r="F192" s="280">
        <v>92773</v>
      </c>
      <c r="G192" s="280">
        <v>95093</v>
      </c>
      <c r="H192" s="280">
        <v>97470</v>
      </c>
      <c r="I192" s="280">
        <v>99419</v>
      </c>
      <c r="J192" s="280">
        <v>101408</v>
      </c>
      <c r="K192" s="280">
        <v>103436</v>
      </c>
    </row>
    <row r="193" spans="1:11" x14ac:dyDescent="0.25">
      <c r="A193" s="278" t="s">
        <v>746</v>
      </c>
      <c r="B193" s="280">
        <v>76407</v>
      </c>
      <c r="C193" s="280">
        <v>78317</v>
      </c>
      <c r="D193" s="280">
        <v>80275</v>
      </c>
      <c r="E193" s="280">
        <v>82282</v>
      </c>
      <c r="F193" s="280">
        <v>84339</v>
      </c>
      <c r="G193" s="280">
        <v>86447</v>
      </c>
      <c r="H193" s="280">
        <v>88608</v>
      </c>
      <c r="I193" s="280">
        <v>90381</v>
      </c>
      <c r="J193" s="280">
        <v>92188</v>
      </c>
      <c r="K193" s="280">
        <v>94032</v>
      </c>
    </row>
    <row r="194" spans="1:11" x14ac:dyDescent="0.25">
      <c r="A194" s="278" t="s">
        <v>747</v>
      </c>
      <c r="B194" s="280">
        <v>69461</v>
      </c>
      <c r="C194" s="280">
        <v>71198</v>
      </c>
      <c r="D194" s="280">
        <v>72977</v>
      </c>
      <c r="E194" s="280">
        <v>74802</v>
      </c>
      <c r="F194" s="280">
        <v>76672</v>
      </c>
      <c r="G194" s="280">
        <v>78589</v>
      </c>
      <c r="H194" s="280">
        <v>80553</v>
      </c>
      <c r="I194" s="280">
        <v>82165</v>
      </c>
      <c r="J194" s="280">
        <v>83808</v>
      </c>
      <c r="K194" s="280">
        <v>85484</v>
      </c>
    </row>
    <row r="195" spans="1:11" x14ac:dyDescent="0.25">
      <c r="A195" s="278" t="s">
        <v>748</v>
      </c>
      <c r="B195" s="280">
        <v>54648</v>
      </c>
      <c r="C195" s="280">
        <v>56014</v>
      </c>
      <c r="D195" s="280">
        <v>57415</v>
      </c>
      <c r="E195" s="280">
        <v>58850</v>
      </c>
      <c r="F195" s="280">
        <v>60321</v>
      </c>
      <c r="G195" s="280">
        <v>61829</v>
      </c>
      <c r="H195" s="280">
        <v>63066</v>
      </c>
      <c r="I195" s="280">
        <v>64327</v>
      </c>
      <c r="J195" s="280">
        <v>65614</v>
      </c>
      <c r="K195" s="280">
        <v>66926</v>
      </c>
    </row>
    <row r="196" spans="1:11" x14ac:dyDescent="0.25">
      <c r="A196" s="278" t="s">
        <v>749</v>
      </c>
      <c r="B196" s="280">
        <v>51428</v>
      </c>
      <c r="C196" s="280">
        <v>52714</v>
      </c>
      <c r="D196" s="280">
        <v>54031</v>
      </c>
      <c r="E196" s="280">
        <v>55382</v>
      </c>
      <c r="F196" s="280">
        <v>56767</v>
      </c>
      <c r="G196" s="280">
        <v>58186</v>
      </c>
      <c r="H196" s="280">
        <v>59350</v>
      </c>
      <c r="I196" s="280">
        <v>60537</v>
      </c>
      <c r="J196" s="280">
        <v>61747</v>
      </c>
      <c r="K196" s="280">
        <v>62982</v>
      </c>
    </row>
    <row r="197" spans="1:11" x14ac:dyDescent="0.25">
      <c r="A197" s="278" t="s">
        <v>750</v>
      </c>
      <c r="B197" s="281">
        <v>20.309999999999999</v>
      </c>
      <c r="C197" s="281">
        <v>20.82</v>
      </c>
      <c r="D197" s="281">
        <v>21.34</v>
      </c>
      <c r="E197" s="281">
        <v>21.88</v>
      </c>
      <c r="F197" s="281">
        <v>22.42</v>
      </c>
      <c r="G197" s="281">
        <v>22.98</v>
      </c>
      <c r="H197" s="281">
        <v>23.56</v>
      </c>
      <c r="I197" s="281">
        <v>24.03</v>
      </c>
      <c r="J197" s="281">
        <v>24.51</v>
      </c>
      <c r="K197" s="281">
        <v>25</v>
      </c>
    </row>
    <row r="198" spans="1:11" x14ac:dyDescent="0.25">
      <c r="A198" s="278" t="s">
        <v>751</v>
      </c>
      <c r="B198" s="281">
        <v>18.82</v>
      </c>
      <c r="C198" s="281">
        <v>19.29</v>
      </c>
      <c r="D198" s="281">
        <v>19.77</v>
      </c>
      <c r="E198" s="281">
        <v>20.27</v>
      </c>
      <c r="F198" s="281">
        <v>20.77</v>
      </c>
      <c r="G198" s="281">
        <v>21.29</v>
      </c>
      <c r="H198" s="281">
        <v>21.83</v>
      </c>
      <c r="I198" s="281">
        <v>22.26</v>
      </c>
      <c r="J198" s="281">
        <v>22.71</v>
      </c>
      <c r="K198" s="281">
        <v>23.16</v>
      </c>
    </row>
    <row r="199" spans="1:11" x14ac:dyDescent="0.25">
      <c r="A199" s="278" t="s">
        <v>52</v>
      </c>
      <c r="B199" s="281">
        <v>17.27</v>
      </c>
      <c r="C199" s="281">
        <v>17.7</v>
      </c>
      <c r="D199" s="281">
        <v>18.14</v>
      </c>
      <c r="E199" s="281">
        <v>18.59</v>
      </c>
      <c r="F199" s="281">
        <v>19.059999999999999</v>
      </c>
      <c r="G199" s="281">
        <v>19.54</v>
      </c>
      <c r="H199" s="281">
        <v>20.02</v>
      </c>
      <c r="I199" s="281">
        <v>20.420000000000002</v>
      </c>
      <c r="J199" s="281">
        <v>20.83</v>
      </c>
      <c r="K199" s="281">
        <v>21.25</v>
      </c>
    </row>
    <row r="200" spans="1:11" x14ac:dyDescent="0.25">
      <c r="A200" s="278" t="s">
        <v>51</v>
      </c>
      <c r="B200" s="281">
        <v>16.05</v>
      </c>
      <c r="C200" s="281">
        <v>16.45</v>
      </c>
      <c r="D200" s="281">
        <v>16.86</v>
      </c>
      <c r="E200" s="281">
        <v>17.28</v>
      </c>
      <c r="F200" s="281">
        <v>17.71</v>
      </c>
      <c r="G200" s="281">
        <v>18.16</v>
      </c>
      <c r="H200" s="281">
        <v>18.61</v>
      </c>
      <c r="I200" s="281">
        <v>18.98</v>
      </c>
      <c r="J200" s="281">
        <v>19.36</v>
      </c>
      <c r="K200" s="281">
        <v>19.75</v>
      </c>
    </row>
    <row r="201" spans="1:11" x14ac:dyDescent="0.25">
      <c r="A201" s="278" t="s">
        <v>50</v>
      </c>
      <c r="B201" s="281">
        <v>13.61</v>
      </c>
      <c r="C201" s="281">
        <v>13.95</v>
      </c>
      <c r="D201" s="281">
        <v>14.3</v>
      </c>
      <c r="E201" s="281">
        <v>14.66</v>
      </c>
      <c r="F201" s="281">
        <v>15.02</v>
      </c>
      <c r="G201" s="281">
        <v>15.4</v>
      </c>
      <c r="H201" s="281">
        <v>15.75</v>
      </c>
      <c r="I201" s="281">
        <v>16.100000000000001</v>
      </c>
      <c r="J201" s="281">
        <v>16.420000000000002</v>
      </c>
      <c r="K201" s="281">
        <v>16.75</v>
      </c>
    </row>
    <row r="202" spans="1:11" x14ac:dyDescent="0.25">
      <c r="A202" s="273"/>
      <c r="B202" s="121"/>
      <c r="C202" s="121"/>
      <c r="D202" s="121"/>
      <c r="E202" s="121"/>
      <c r="F202" s="121"/>
      <c r="G202" s="121"/>
      <c r="H202" s="121"/>
      <c r="I202" s="121"/>
      <c r="J202" s="121"/>
      <c r="K202" s="121"/>
    </row>
    <row r="203" spans="1:11" x14ac:dyDescent="0.25">
      <c r="A203" s="274" t="s">
        <v>637</v>
      </c>
      <c r="B203" s="1">
        <f>ROUND((+B196/2090),2)</f>
        <v>24.61</v>
      </c>
      <c r="C203" s="1">
        <f t="shared" ref="C203:K203" si="87">ROUND((+C196/2090),2)</f>
        <v>25.22</v>
      </c>
      <c r="D203" s="1">
        <f t="shared" si="87"/>
        <v>25.85</v>
      </c>
      <c r="E203" s="1">
        <f t="shared" si="87"/>
        <v>26.5</v>
      </c>
      <c r="F203" s="1">
        <f t="shared" si="87"/>
        <v>27.16</v>
      </c>
      <c r="G203" s="1">
        <f t="shared" si="87"/>
        <v>27.84</v>
      </c>
      <c r="H203" s="1">
        <f t="shared" si="87"/>
        <v>28.4</v>
      </c>
      <c r="I203" s="1">
        <f t="shared" si="87"/>
        <v>28.97</v>
      </c>
      <c r="J203" s="1">
        <f t="shared" si="87"/>
        <v>29.54</v>
      </c>
      <c r="K203" s="1">
        <f t="shared" si="87"/>
        <v>30.13</v>
      </c>
    </row>
  </sheetData>
  <hyperlinks>
    <hyperlink ref="G1" location="'Table of Contents'!A1" display="TOC" xr:uid="{00000000-0004-0000-4200-000000000000}"/>
  </hyperlinks>
  <pageMargins left="0.7" right="0.7" top="0.75" bottom="0.75" header="0.3" footer="0.3"/>
  <pageSetup scale="89" orientation="portrait" r:id="rId1"/>
  <headerFooter>
    <oddFooter>&amp;L&amp;D &amp;T&amp;C&amp;F&amp;R&amp;A</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92D050"/>
  </sheetPr>
  <dimension ref="A1:AJ82"/>
  <sheetViews>
    <sheetView workbookViewId="0"/>
  </sheetViews>
  <sheetFormatPr defaultRowHeight="13.2" x14ac:dyDescent="0.25"/>
  <cols>
    <col min="1" max="1" width="9.33203125" customWidth="1"/>
    <col min="2" max="2" width="39.44140625" customWidth="1"/>
    <col min="3" max="3" width="12" hidden="1" customWidth="1"/>
    <col min="4" max="6" width="11.44140625" hidden="1" customWidth="1"/>
    <col min="7" max="21" width="11.44140625" customWidth="1"/>
    <col min="22" max="36" width="9.77734375" customWidth="1"/>
  </cols>
  <sheetData>
    <row r="1" spans="1:36" x14ac:dyDescent="0.25">
      <c r="A1" s="371" t="s">
        <v>1348</v>
      </c>
      <c r="C1" s="1"/>
      <c r="G1" s="2"/>
    </row>
    <row r="2" spans="1:36" ht="13.8" x14ac:dyDescent="0.25">
      <c r="A2" s="45" t="s">
        <v>265</v>
      </c>
      <c r="B2" s="45"/>
      <c r="C2" s="1"/>
      <c r="G2" s="2"/>
    </row>
    <row r="3" spans="1:36" ht="13.8" thickBot="1" x14ac:dyDescent="0.3"/>
    <row r="4" spans="1:36" ht="13.8" thickTop="1" x14ac:dyDescent="0.25">
      <c r="A4" s="5"/>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row>
    <row r="5" spans="1:36" x14ac:dyDescent="0.25">
      <c r="A5" s="86"/>
      <c r="B5" s="83" t="s">
        <v>900</v>
      </c>
      <c r="C5" s="47" t="s">
        <v>889</v>
      </c>
      <c r="D5" s="47" t="s">
        <v>905</v>
      </c>
      <c r="E5" s="47" t="s">
        <v>906</v>
      </c>
      <c r="F5" s="47" t="s">
        <v>907</v>
      </c>
      <c r="G5" s="47" t="s">
        <v>908</v>
      </c>
      <c r="H5" s="47" t="s">
        <v>909</v>
      </c>
      <c r="I5" s="47" t="s">
        <v>910</v>
      </c>
      <c r="J5" s="47" t="s">
        <v>911</v>
      </c>
      <c r="K5" s="47" t="s">
        <v>912</v>
      </c>
      <c r="L5" s="47" t="s">
        <v>913</v>
      </c>
      <c r="M5" s="47" t="s">
        <v>914</v>
      </c>
      <c r="N5" s="47" t="s">
        <v>915</v>
      </c>
      <c r="O5" s="47" t="s">
        <v>916</v>
      </c>
      <c r="P5" s="47" t="s">
        <v>917</v>
      </c>
      <c r="Q5" s="47" t="s">
        <v>918</v>
      </c>
      <c r="R5" s="47" t="s">
        <v>919</v>
      </c>
      <c r="S5" s="47" t="s">
        <v>920</v>
      </c>
      <c r="T5" s="47" t="s">
        <v>921</v>
      </c>
      <c r="U5" s="47" t="s">
        <v>922</v>
      </c>
      <c r="V5" s="47" t="s">
        <v>923</v>
      </c>
      <c r="W5" s="47" t="s">
        <v>924</v>
      </c>
      <c r="X5" s="47" t="s">
        <v>925</v>
      </c>
      <c r="Y5" s="47" t="s">
        <v>926</v>
      </c>
      <c r="Z5" s="47" t="s">
        <v>927</v>
      </c>
      <c r="AA5" s="47" t="s">
        <v>928</v>
      </c>
      <c r="AB5" s="47" t="s">
        <v>929</v>
      </c>
      <c r="AC5" s="47" t="s">
        <v>930</v>
      </c>
      <c r="AD5" s="47" t="s">
        <v>931</v>
      </c>
      <c r="AE5" s="47" t="s">
        <v>932</v>
      </c>
      <c r="AF5" s="47" t="s">
        <v>933</v>
      </c>
      <c r="AG5" s="47" t="s">
        <v>934</v>
      </c>
      <c r="AH5" s="47" t="s">
        <v>935</v>
      </c>
      <c r="AI5" s="47" t="s">
        <v>936</v>
      </c>
      <c r="AJ5" s="47" t="s">
        <v>937</v>
      </c>
    </row>
    <row r="6" spans="1:36" x14ac:dyDescent="0.25">
      <c r="A6" s="86"/>
      <c r="B6" s="83"/>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row>
    <row r="7" spans="1:36" ht="13.8" thickBot="1" x14ac:dyDescent="0.3">
      <c r="A7" s="8" t="s">
        <v>128</v>
      </c>
      <c r="B7" s="82"/>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row>
    <row r="8" spans="1:36" ht="13.8" thickTop="1" x14ac:dyDescent="0.25">
      <c r="A8" s="28"/>
      <c r="B8" s="2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row>
    <row r="9" spans="1:36" x14ac:dyDescent="0.25">
      <c r="A9" s="11">
        <v>710</v>
      </c>
      <c r="B9" s="12" t="s">
        <v>228</v>
      </c>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row>
    <row r="10" spans="1:36" x14ac:dyDescent="0.25">
      <c r="A10" s="11">
        <v>5930</v>
      </c>
      <c r="B10" s="110" t="s">
        <v>36</v>
      </c>
      <c r="C10" s="122">
        <f>ROUND((+C60*0.4),0)</f>
        <v>18865</v>
      </c>
      <c r="D10" s="122">
        <f t="shared" ref="D10:U10" si="0">ROUND((+D60*0.4),0)</f>
        <v>19246</v>
      </c>
      <c r="E10" s="122">
        <f t="shared" si="0"/>
        <v>19635</v>
      </c>
      <c r="F10" s="122">
        <f t="shared" si="0"/>
        <v>20032</v>
      </c>
      <c r="G10" s="122">
        <f t="shared" si="0"/>
        <v>20760</v>
      </c>
      <c r="H10" s="122">
        <f t="shared" si="0"/>
        <v>20849</v>
      </c>
      <c r="I10" s="122">
        <f t="shared" si="0"/>
        <v>21270</v>
      </c>
      <c r="J10" s="122">
        <f t="shared" si="0"/>
        <v>21700</v>
      </c>
      <c r="K10" s="122">
        <f t="shared" si="0"/>
        <v>22138</v>
      </c>
      <c r="L10" s="122">
        <f t="shared" si="0"/>
        <v>22586</v>
      </c>
      <c r="M10" s="122">
        <f t="shared" si="0"/>
        <v>23042</v>
      </c>
      <c r="N10" s="122">
        <f t="shared" si="0"/>
        <v>0</v>
      </c>
      <c r="O10" s="122">
        <f t="shared" si="0"/>
        <v>0</v>
      </c>
      <c r="P10" s="122">
        <f t="shared" si="0"/>
        <v>0</v>
      </c>
      <c r="Q10" s="122">
        <f t="shared" si="0"/>
        <v>0</v>
      </c>
      <c r="R10" s="122">
        <f t="shared" si="0"/>
        <v>0</v>
      </c>
      <c r="S10" s="122">
        <f t="shared" si="0"/>
        <v>0</v>
      </c>
      <c r="T10" s="122">
        <f t="shared" si="0"/>
        <v>0</v>
      </c>
      <c r="U10" s="122">
        <f t="shared" si="0"/>
        <v>0</v>
      </c>
      <c r="V10" s="122">
        <f t="shared" ref="V10:AC10" si="1">ROUND((+V60*0.4),0)</f>
        <v>0</v>
      </c>
      <c r="W10" s="122">
        <f t="shared" si="1"/>
        <v>0</v>
      </c>
      <c r="X10" s="122">
        <f t="shared" si="1"/>
        <v>0</v>
      </c>
      <c r="Y10" s="122">
        <f t="shared" si="1"/>
        <v>0</v>
      </c>
      <c r="Z10" s="122">
        <f t="shared" si="1"/>
        <v>0</v>
      </c>
      <c r="AA10" s="122">
        <f t="shared" si="1"/>
        <v>0</v>
      </c>
      <c r="AB10" s="122">
        <f t="shared" si="1"/>
        <v>0</v>
      </c>
      <c r="AC10" s="122">
        <f t="shared" si="1"/>
        <v>0</v>
      </c>
      <c r="AD10" s="122">
        <f t="shared" ref="AD10:AJ13" si="2">ROUND((+AD60*0.4),0)</f>
        <v>0</v>
      </c>
      <c r="AE10" s="122">
        <f t="shared" si="2"/>
        <v>0</v>
      </c>
      <c r="AF10" s="122">
        <f t="shared" si="2"/>
        <v>0</v>
      </c>
      <c r="AG10" s="122">
        <f t="shared" si="2"/>
        <v>0</v>
      </c>
      <c r="AH10" s="122">
        <f t="shared" si="2"/>
        <v>0</v>
      </c>
      <c r="AI10" s="122">
        <f t="shared" si="2"/>
        <v>0</v>
      </c>
      <c r="AJ10" s="122">
        <f t="shared" si="2"/>
        <v>0</v>
      </c>
    </row>
    <row r="11" spans="1:36" x14ac:dyDescent="0.25">
      <c r="A11" s="11">
        <v>5931</v>
      </c>
      <c r="B11" s="63" t="s">
        <v>37</v>
      </c>
      <c r="C11" s="122">
        <f>ROUND((+C61*0.4),0)</f>
        <v>21350</v>
      </c>
      <c r="D11" s="122">
        <f t="shared" ref="D11:U11" si="3">ROUND((+D61*0.4),0)</f>
        <v>21872</v>
      </c>
      <c r="E11" s="122">
        <f t="shared" si="3"/>
        <v>22406</v>
      </c>
      <c r="F11" s="122">
        <f t="shared" si="3"/>
        <v>22954</v>
      </c>
      <c r="G11" s="122">
        <f t="shared" si="3"/>
        <v>23514</v>
      </c>
      <c r="H11" s="122">
        <f t="shared" si="3"/>
        <v>24089</v>
      </c>
      <c r="I11" s="122">
        <f t="shared" si="3"/>
        <v>24678</v>
      </c>
      <c r="J11" s="122">
        <f t="shared" si="3"/>
        <v>25281</v>
      </c>
      <c r="K11" s="122">
        <f t="shared" si="3"/>
        <v>25898</v>
      </c>
      <c r="L11" s="122">
        <f t="shared" si="3"/>
        <v>26531</v>
      </c>
      <c r="M11" s="122">
        <f t="shared" si="3"/>
        <v>27180</v>
      </c>
      <c r="N11" s="122">
        <f t="shared" si="3"/>
        <v>27844</v>
      </c>
      <c r="O11" s="122">
        <f t="shared" si="3"/>
        <v>28524</v>
      </c>
      <c r="P11" s="122">
        <f t="shared" si="3"/>
        <v>29221</v>
      </c>
      <c r="Q11" s="122">
        <f t="shared" si="3"/>
        <v>29935</v>
      </c>
      <c r="R11" s="122">
        <f t="shared" si="3"/>
        <v>30667</v>
      </c>
      <c r="S11" s="122">
        <f t="shared" si="3"/>
        <v>31416</v>
      </c>
      <c r="T11" s="122">
        <f t="shared" si="3"/>
        <v>32184</v>
      </c>
      <c r="U11" s="122">
        <f t="shared" si="3"/>
        <v>32970</v>
      </c>
      <c r="V11" s="122">
        <f t="shared" ref="V11:AC11" si="4">ROUND((+V61*0.4),0)</f>
        <v>33776</v>
      </c>
      <c r="W11" s="122">
        <f t="shared" si="4"/>
        <v>34601</v>
      </c>
      <c r="X11" s="122">
        <f t="shared" si="4"/>
        <v>35446</v>
      </c>
      <c r="Y11" s="122">
        <f t="shared" si="4"/>
        <v>0</v>
      </c>
      <c r="Z11" s="122">
        <f t="shared" si="4"/>
        <v>0</v>
      </c>
      <c r="AA11" s="122">
        <f t="shared" si="4"/>
        <v>0</v>
      </c>
      <c r="AB11" s="122">
        <f t="shared" si="4"/>
        <v>0</v>
      </c>
      <c r="AC11" s="122">
        <f t="shared" si="4"/>
        <v>0</v>
      </c>
      <c r="AD11" s="122">
        <f t="shared" si="2"/>
        <v>0</v>
      </c>
      <c r="AE11" s="122">
        <f t="shared" si="2"/>
        <v>0</v>
      </c>
      <c r="AF11" s="122">
        <f t="shared" si="2"/>
        <v>0</v>
      </c>
      <c r="AG11" s="122">
        <f t="shared" si="2"/>
        <v>0</v>
      </c>
      <c r="AH11" s="122">
        <f t="shared" si="2"/>
        <v>0</v>
      </c>
      <c r="AI11" s="122">
        <f t="shared" si="2"/>
        <v>0</v>
      </c>
      <c r="AJ11" s="122">
        <f t="shared" si="2"/>
        <v>0</v>
      </c>
    </row>
    <row r="12" spans="1:36" s="411" customFormat="1" x14ac:dyDescent="0.25">
      <c r="A12" s="748">
        <v>5932</v>
      </c>
      <c r="B12" s="739" t="s">
        <v>38</v>
      </c>
      <c r="C12" s="735">
        <f>ROUND((+C62*0.4),0)</f>
        <v>6174</v>
      </c>
      <c r="D12" s="735">
        <f t="shared" ref="D12:U12" si="5">ROUND((+D62*0.4),0)</f>
        <v>6444</v>
      </c>
      <c r="E12" s="735">
        <f t="shared" si="5"/>
        <v>6726</v>
      </c>
      <c r="F12" s="735">
        <f t="shared" si="5"/>
        <v>7020</v>
      </c>
      <c r="G12" s="735">
        <f t="shared" si="5"/>
        <v>8000</v>
      </c>
      <c r="H12" s="735">
        <f t="shared" si="5"/>
        <v>8000</v>
      </c>
      <c r="I12" s="735">
        <f t="shared" si="5"/>
        <v>8000</v>
      </c>
      <c r="J12" s="735">
        <f t="shared" si="5"/>
        <v>10000</v>
      </c>
      <c r="K12" s="735">
        <f t="shared" si="5"/>
        <v>10000</v>
      </c>
      <c r="L12" s="735">
        <f t="shared" si="5"/>
        <v>10000</v>
      </c>
      <c r="M12" s="735">
        <f t="shared" si="5"/>
        <v>10000</v>
      </c>
      <c r="N12" s="735">
        <f t="shared" si="5"/>
        <v>12000</v>
      </c>
      <c r="O12" s="735">
        <f t="shared" si="5"/>
        <v>12000</v>
      </c>
      <c r="P12" s="735">
        <f t="shared" si="5"/>
        <v>12000</v>
      </c>
      <c r="Q12" s="735">
        <f t="shared" si="5"/>
        <v>14000</v>
      </c>
      <c r="R12" s="735">
        <f t="shared" si="5"/>
        <v>14000</v>
      </c>
      <c r="S12" s="735">
        <f t="shared" si="5"/>
        <v>14000</v>
      </c>
      <c r="T12" s="735">
        <f t="shared" si="5"/>
        <v>14000</v>
      </c>
      <c r="U12" s="735">
        <f t="shared" si="5"/>
        <v>14000</v>
      </c>
      <c r="V12" s="735">
        <f t="shared" ref="V12:AC12" si="6">ROUND((+V62*0.4),0)</f>
        <v>14000</v>
      </c>
      <c r="W12" s="735">
        <f t="shared" si="6"/>
        <v>14000</v>
      </c>
      <c r="X12" s="735">
        <f t="shared" si="6"/>
        <v>16000</v>
      </c>
      <c r="Y12" s="735">
        <f t="shared" si="6"/>
        <v>16000</v>
      </c>
      <c r="Z12" s="735">
        <f t="shared" si="6"/>
        <v>16000</v>
      </c>
      <c r="AA12" s="735">
        <f t="shared" si="6"/>
        <v>16000</v>
      </c>
      <c r="AB12" s="735">
        <f t="shared" si="6"/>
        <v>16000</v>
      </c>
      <c r="AC12" s="735">
        <f t="shared" si="6"/>
        <v>18000</v>
      </c>
      <c r="AD12" s="735">
        <f t="shared" si="2"/>
        <v>18000</v>
      </c>
      <c r="AE12" s="735">
        <f t="shared" si="2"/>
        <v>18000</v>
      </c>
      <c r="AF12" s="735">
        <f t="shared" si="2"/>
        <v>0</v>
      </c>
      <c r="AG12" s="735">
        <f t="shared" si="2"/>
        <v>0</v>
      </c>
      <c r="AH12" s="735">
        <f t="shared" si="2"/>
        <v>0</v>
      </c>
      <c r="AI12" s="735">
        <f t="shared" si="2"/>
        <v>0</v>
      </c>
      <c r="AJ12" s="735">
        <f t="shared" si="2"/>
        <v>0</v>
      </c>
    </row>
    <row r="13" spans="1:36" ht="13.8" thickBot="1" x14ac:dyDescent="0.3">
      <c r="A13" s="11">
        <v>5933</v>
      </c>
      <c r="B13" s="63" t="s">
        <v>352</v>
      </c>
      <c r="C13" s="123">
        <f>ROUND((+C63*0.4),0)</f>
        <v>5658</v>
      </c>
      <c r="D13" s="123">
        <f t="shared" ref="D13:U13" si="7">ROUND((+D63*0.4),0)</f>
        <v>5891</v>
      </c>
      <c r="E13" s="123">
        <f t="shared" si="7"/>
        <v>6134</v>
      </c>
      <c r="F13" s="123">
        <f t="shared" si="7"/>
        <v>6387</v>
      </c>
      <c r="G13" s="123">
        <f t="shared" si="7"/>
        <v>6651</v>
      </c>
      <c r="H13" s="123">
        <f t="shared" si="7"/>
        <v>6925</v>
      </c>
      <c r="I13" s="123">
        <f t="shared" si="7"/>
        <v>7211</v>
      </c>
      <c r="J13" s="123">
        <f t="shared" si="7"/>
        <v>7508</v>
      </c>
      <c r="K13" s="123">
        <f t="shared" si="7"/>
        <v>7818</v>
      </c>
      <c r="L13" s="123">
        <f t="shared" si="7"/>
        <v>8140</v>
      </c>
      <c r="M13" s="123">
        <f t="shared" si="7"/>
        <v>8476</v>
      </c>
      <c r="N13" s="123">
        <f t="shared" si="7"/>
        <v>8826</v>
      </c>
      <c r="O13" s="123">
        <f t="shared" si="7"/>
        <v>9190</v>
      </c>
      <c r="P13" s="123">
        <f t="shared" si="7"/>
        <v>9569</v>
      </c>
      <c r="Q13" s="123">
        <f t="shared" si="7"/>
        <v>9964</v>
      </c>
      <c r="R13" s="123">
        <f t="shared" si="7"/>
        <v>10374</v>
      </c>
      <c r="S13" s="123">
        <f t="shared" si="7"/>
        <v>10802</v>
      </c>
      <c r="T13" s="123">
        <f t="shared" si="7"/>
        <v>11248</v>
      </c>
      <c r="U13" s="123">
        <f t="shared" si="7"/>
        <v>11712</v>
      </c>
      <c r="V13" s="123">
        <f t="shared" ref="V13:AC13" si="8">ROUND((+V63*0.4),0)</f>
        <v>12195</v>
      </c>
      <c r="W13" s="123">
        <f t="shared" si="8"/>
        <v>12698</v>
      </c>
      <c r="X13" s="123">
        <f t="shared" si="8"/>
        <v>13222</v>
      </c>
      <c r="Y13" s="123">
        <f t="shared" si="8"/>
        <v>13767</v>
      </c>
      <c r="Z13" s="123">
        <f t="shared" si="8"/>
        <v>14335</v>
      </c>
      <c r="AA13" s="123">
        <f t="shared" si="8"/>
        <v>14927</v>
      </c>
      <c r="AB13" s="123">
        <f t="shared" si="8"/>
        <v>15542</v>
      </c>
      <c r="AC13" s="123">
        <f t="shared" si="8"/>
        <v>16184</v>
      </c>
      <c r="AD13" s="123">
        <f t="shared" si="2"/>
        <v>16851</v>
      </c>
      <c r="AE13" s="123">
        <f t="shared" si="2"/>
        <v>17546</v>
      </c>
      <c r="AF13" s="123">
        <f t="shared" si="2"/>
        <v>18270</v>
      </c>
      <c r="AG13" s="123">
        <f t="shared" si="2"/>
        <v>19024</v>
      </c>
      <c r="AH13" s="123">
        <f t="shared" si="2"/>
        <v>19685</v>
      </c>
      <c r="AI13" s="123">
        <f t="shared" si="2"/>
        <v>0</v>
      </c>
      <c r="AJ13" s="123">
        <f t="shared" si="2"/>
        <v>0</v>
      </c>
    </row>
    <row r="14" spans="1:36" x14ac:dyDescent="0.25">
      <c r="A14" s="11"/>
      <c r="B14" s="17" t="s">
        <v>228</v>
      </c>
      <c r="C14" s="19">
        <f>SUM(C9:C13)</f>
        <v>52047</v>
      </c>
      <c r="D14" s="19">
        <f t="shared" ref="D14:U14" si="9">SUM(D9:D13)</f>
        <v>53453</v>
      </c>
      <c r="E14" s="19">
        <f t="shared" si="9"/>
        <v>54901</v>
      </c>
      <c r="F14" s="19">
        <f t="shared" si="9"/>
        <v>56393</v>
      </c>
      <c r="G14" s="19">
        <f t="shared" si="9"/>
        <v>58925</v>
      </c>
      <c r="H14" s="19">
        <f t="shared" si="9"/>
        <v>59863</v>
      </c>
      <c r="I14" s="19">
        <f t="shared" si="9"/>
        <v>61159</v>
      </c>
      <c r="J14" s="19">
        <f t="shared" si="9"/>
        <v>64489</v>
      </c>
      <c r="K14" s="19">
        <f t="shared" si="9"/>
        <v>65854</v>
      </c>
      <c r="L14" s="19">
        <f t="shared" si="9"/>
        <v>67257</v>
      </c>
      <c r="M14" s="19">
        <f t="shared" si="9"/>
        <v>68698</v>
      </c>
      <c r="N14" s="19">
        <f t="shared" si="9"/>
        <v>48670</v>
      </c>
      <c r="O14" s="19">
        <f t="shared" si="9"/>
        <v>49714</v>
      </c>
      <c r="P14" s="19">
        <f t="shared" si="9"/>
        <v>50790</v>
      </c>
      <c r="Q14" s="19">
        <f t="shared" si="9"/>
        <v>53899</v>
      </c>
      <c r="R14" s="19">
        <f t="shared" si="9"/>
        <v>55041</v>
      </c>
      <c r="S14" s="19">
        <f t="shared" si="9"/>
        <v>56218</v>
      </c>
      <c r="T14" s="19">
        <f t="shared" si="9"/>
        <v>57432</v>
      </c>
      <c r="U14" s="19">
        <f t="shared" si="9"/>
        <v>58682</v>
      </c>
      <c r="V14" s="19">
        <f t="shared" ref="V14:AJ14" si="10">SUM(V9:V13)</f>
        <v>59971</v>
      </c>
      <c r="W14" s="19">
        <f t="shared" si="10"/>
        <v>61299</v>
      </c>
      <c r="X14" s="19">
        <f t="shared" si="10"/>
        <v>64668</v>
      </c>
      <c r="Y14" s="19">
        <f t="shared" si="10"/>
        <v>29767</v>
      </c>
      <c r="Z14" s="19">
        <f t="shared" si="10"/>
        <v>30335</v>
      </c>
      <c r="AA14" s="19">
        <f t="shared" si="10"/>
        <v>30927</v>
      </c>
      <c r="AB14" s="19">
        <f t="shared" si="10"/>
        <v>31542</v>
      </c>
      <c r="AC14" s="19">
        <f t="shared" si="10"/>
        <v>34184</v>
      </c>
      <c r="AD14" s="19">
        <f t="shared" si="10"/>
        <v>34851</v>
      </c>
      <c r="AE14" s="19">
        <f t="shared" si="10"/>
        <v>35546</v>
      </c>
      <c r="AF14" s="19">
        <f t="shared" si="10"/>
        <v>18270</v>
      </c>
      <c r="AG14" s="19">
        <f t="shared" si="10"/>
        <v>19024</v>
      </c>
      <c r="AH14" s="19">
        <f t="shared" si="10"/>
        <v>19685</v>
      </c>
      <c r="AI14" s="19">
        <f t="shared" si="10"/>
        <v>0</v>
      </c>
      <c r="AJ14" s="19">
        <f t="shared" si="10"/>
        <v>0</v>
      </c>
    </row>
    <row r="15" spans="1:36" x14ac:dyDescent="0.25">
      <c r="A15" s="11"/>
      <c r="B15" s="12"/>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row>
    <row r="16" spans="1:36" x14ac:dyDescent="0.25">
      <c r="A16" s="11">
        <v>751</v>
      </c>
      <c r="B16" s="12" t="s">
        <v>229</v>
      </c>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row>
    <row r="17" spans="1:36" x14ac:dyDescent="0.25">
      <c r="A17" s="11">
        <v>5930</v>
      </c>
      <c r="B17" s="63" t="s">
        <v>36</v>
      </c>
      <c r="C17" s="122">
        <f t="shared" ref="C17:C22" si="11">ROUND((+C67*0.4),0)</f>
        <v>4408</v>
      </c>
      <c r="D17" s="122">
        <f t="shared" ref="D17:U17" si="12">ROUND((+D67*0.4),0)</f>
        <v>4266</v>
      </c>
      <c r="E17" s="122">
        <f t="shared" si="12"/>
        <v>3638</v>
      </c>
      <c r="F17" s="122">
        <f t="shared" si="12"/>
        <v>3241</v>
      </c>
      <c r="G17" s="122">
        <f t="shared" si="12"/>
        <v>2836</v>
      </c>
      <c r="H17" s="122">
        <f t="shared" si="12"/>
        <v>2424</v>
      </c>
      <c r="I17" s="122">
        <f t="shared" si="12"/>
        <v>2002</v>
      </c>
      <c r="J17" s="122">
        <f t="shared" si="12"/>
        <v>1572</v>
      </c>
      <c r="K17" s="122">
        <f t="shared" si="12"/>
        <v>1134</v>
      </c>
      <c r="L17" s="122">
        <f t="shared" si="12"/>
        <v>687</v>
      </c>
      <c r="M17" s="122">
        <f t="shared" si="12"/>
        <v>231</v>
      </c>
      <c r="N17" s="122">
        <f t="shared" si="12"/>
        <v>0</v>
      </c>
      <c r="O17" s="122">
        <f t="shared" si="12"/>
        <v>0</v>
      </c>
      <c r="P17" s="122">
        <f t="shared" si="12"/>
        <v>0</v>
      </c>
      <c r="Q17" s="122">
        <f t="shared" si="12"/>
        <v>0</v>
      </c>
      <c r="R17" s="122">
        <f t="shared" si="12"/>
        <v>0</v>
      </c>
      <c r="S17" s="122">
        <f t="shared" si="12"/>
        <v>0</v>
      </c>
      <c r="T17" s="122">
        <f t="shared" si="12"/>
        <v>0</v>
      </c>
      <c r="U17" s="122">
        <f t="shared" si="12"/>
        <v>0</v>
      </c>
      <c r="V17" s="122">
        <f t="shared" ref="V17:AC17" si="13">ROUND((+V67*0.4),0)</f>
        <v>0</v>
      </c>
      <c r="W17" s="122">
        <f t="shared" si="13"/>
        <v>0</v>
      </c>
      <c r="X17" s="122">
        <f t="shared" si="13"/>
        <v>0</v>
      </c>
      <c r="Y17" s="122">
        <f t="shared" si="13"/>
        <v>0</v>
      </c>
      <c r="Z17" s="122">
        <f t="shared" si="13"/>
        <v>0</v>
      </c>
      <c r="AA17" s="122">
        <f t="shared" si="13"/>
        <v>0</v>
      </c>
      <c r="AB17" s="122">
        <f t="shared" si="13"/>
        <v>0</v>
      </c>
      <c r="AC17" s="122">
        <f t="shared" si="13"/>
        <v>0</v>
      </c>
      <c r="AD17" s="122">
        <f t="shared" ref="AD17:AJ22" si="14">ROUND((+AD67*0.4),0)</f>
        <v>0</v>
      </c>
      <c r="AE17" s="122">
        <f t="shared" si="14"/>
        <v>0</v>
      </c>
      <c r="AF17" s="122">
        <f t="shared" si="14"/>
        <v>0</v>
      </c>
      <c r="AG17" s="122">
        <f t="shared" si="14"/>
        <v>0</v>
      </c>
      <c r="AH17" s="122">
        <f t="shared" si="14"/>
        <v>0</v>
      </c>
      <c r="AI17" s="122">
        <f t="shared" si="14"/>
        <v>0</v>
      </c>
      <c r="AJ17" s="122">
        <f t="shared" si="14"/>
        <v>0</v>
      </c>
    </row>
    <row r="18" spans="1:36" x14ac:dyDescent="0.25">
      <c r="A18" s="11" t="s">
        <v>604</v>
      </c>
      <c r="B18" s="63" t="s">
        <v>39</v>
      </c>
      <c r="C18" s="122">
        <f t="shared" si="11"/>
        <v>327</v>
      </c>
      <c r="D18" s="122">
        <f t="shared" ref="D18:U18" si="15">ROUND((+D68*0.4),0)</f>
        <v>302</v>
      </c>
      <c r="E18" s="122">
        <f t="shared" si="15"/>
        <v>273</v>
      </c>
      <c r="F18" s="122">
        <f t="shared" si="15"/>
        <v>243</v>
      </c>
      <c r="G18" s="122">
        <f t="shared" si="15"/>
        <v>213</v>
      </c>
      <c r="H18" s="122">
        <f t="shared" si="15"/>
        <v>182</v>
      </c>
      <c r="I18" s="122">
        <f t="shared" si="15"/>
        <v>150</v>
      </c>
      <c r="J18" s="122">
        <f t="shared" si="15"/>
        <v>118</v>
      </c>
      <c r="K18" s="122">
        <f t="shared" si="15"/>
        <v>85</v>
      </c>
      <c r="L18" s="122">
        <f t="shared" si="15"/>
        <v>52</v>
      </c>
      <c r="M18" s="122">
        <f t="shared" si="15"/>
        <v>178</v>
      </c>
      <c r="N18" s="122">
        <f t="shared" si="15"/>
        <v>0</v>
      </c>
      <c r="O18" s="122">
        <f t="shared" si="15"/>
        <v>0</v>
      </c>
      <c r="P18" s="122">
        <f t="shared" si="15"/>
        <v>0</v>
      </c>
      <c r="Q18" s="122">
        <f t="shared" si="15"/>
        <v>0</v>
      </c>
      <c r="R18" s="122">
        <f t="shared" si="15"/>
        <v>0</v>
      </c>
      <c r="S18" s="122">
        <f t="shared" si="15"/>
        <v>0</v>
      </c>
      <c r="T18" s="122">
        <f t="shared" si="15"/>
        <v>0</v>
      </c>
      <c r="U18" s="122">
        <f t="shared" si="15"/>
        <v>0</v>
      </c>
      <c r="V18" s="122">
        <f t="shared" ref="V18:AC18" si="16">ROUND((+V68*0.4),0)</f>
        <v>0</v>
      </c>
      <c r="W18" s="122">
        <f t="shared" si="16"/>
        <v>0</v>
      </c>
      <c r="X18" s="122">
        <f t="shared" si="16"/>
        <v>0</v>
      </c>
      <c r="Y18" s="122">
        <f t="shared" si="16"/>
        <v>0</v>
      </c>
      <c r="Z18" s="122">
        <f t="shared" si="16"/>
        <v>0</v>
      </c>
      <c r="AA18" s="122">
        <f t="shared" si="16"/>
        <v>0</v>
      </c>
      <c r="AB18" s="122">
        <f t="shared" si="16"/>
        <v>0</v>
      </c>
      <c r="AC18" s="122">
        <f t="shared" si="16"/>
        <v>0</v>
      </c>
      <c r="AD18" s="122">
        <f t="shared" si="14"/>
        <v>0</v>
      </c>
      <c r="AE18" s="122">
        <f t="shared" si="14"/>
        <v>0</v>
      </c>
      <c r="AF18" s="122">
        <f t="shared" si="14"/>
        <v>0</v>
      </c>
      <c r="AG18" s="122">
        <f t="shared" si="14"/>
        <v>0</v>
      </c>
      <c r="AH18" s="122">
        <f t="shared" si="14"/>
        <v>0</v>
      </c>
      <c r="AI18" s="122">
        <f t="shared" si="14"/>
        <v>0</v>
      </c>
      <c r="AJ18" s="122">
        <f t="shared" si="14"/>
        <v>0</v>
      </c>
    </row>
    <row r="19" spans="1:36" x14ac:dyDescent="0.25">
      <c r="A19" s="11">
        <v>5931</v>
      </c>
      <c r="B19" s="63" t="s">
        <v>37</v>
      </c>
      <c r="C19" s="122">
        <f t="shared" si="11"/>
        <v>14524</v>
      </c>
      <c r="D19" s="122">
        <f t="shared" ref="D19:U19" si="17">ROUND((+D69*0.4),0)</f>
        <v>14054</v>
      </c>
      <c r="E19" s="122">
        <f t="shared" si="17"/>
        <v>13468</v>
      </c>
      <c r="F19" s="122">
        <f t="shared" si="17"/>
        <v>12921</v>
      </c>
      <c r="G19" s="122">
        <f t="shared" si="17"/>
        <v>12360</v>
      </c>
      <c r="H19" s="122">
        <f t="shared" si="17"/>
        <v>11785</v>
      </c>
      <c r="I19" s="122">
        <f t="shared" si="17"/>
        <v>11197</v>
      </c>
      <c r="J19" s="122">
        <f t="shared" si="17"/>
        <v>10594</v>
      </c>
      <c r="K19" s="122">
        <f t="shared" si="17"/>
        <v>9976</v>
      </c>
      <c r="L19" s="122">
        <f t="shared" si="17"/>
        <v>9343</v>
      </c>
      <c r="M19" s="122">
        <f t="shared" si="17"/>
        <v>8695</v>
      </c>
      <c r="N19" s="122">
        <f t="shared" si="17"/>
        <v>8030</v>
      </c>
      <c r="O19" s="122">
        <f t="shared" si="17"/>
        <v>7350</v>
      </c>
      <c r="P19" s="122">
        <f t="shared" si="17"/>
        <v>6653</v>
      </c>
      <c r="Q19" s="122">
        <f t="shared" si="17"/>
        <v>5939</v>
      </c>
      <c r="R19" s="122">
        <f t="shared" si="17"/>
        <v>5208</v>
      </c>
      <c r="S19" s="122">
        <f t="shared" si="17"/>
        <v>4458</v>
      </c>
      <c r="T19" s="122">
        <f t="shared" si="17"/>
        <v>3691</v>
      </c>
      <c r="U19" s="122">
        <f t="shared" si="17"/>
        <v>2904</v>
      </c>
      <c r="V19" s="122">
        <f t="shared" ref="V19:AC19" si="18">ROUND((+V69*0.4),0)</f>
        <v>2099</v>
      </c>
      <c r="W19" s="122">
        <f t="shared" si="18"/>
        <v>1274</v>
      </c>
      <c r="X19" s="122">
        <f t="shared" si="18"/>
        <v>428</v>
      </c>
      <c r="Y19" s="122">
        <f t="shared" si="18"/>
        <v>0</v>
      </c>
      <c r="Z19" s="122">
        <f t="shared" si="18"/>
        <v>0</v>
      </c>
      <c r="AA19" s="122">
        <f t="shared" si="18"/>
        <v>0</v>
      </c>
      <c r="AB19" s="122">
        <f t="shared" si="18"/>
        <v>0</v>
      </c>
      <c r="AC19" s="122">
        <f t="shared" si="18"/>
        <v>0</v>
      </c>
      <c r="AD19" s="122">
        <f t="shared" si="14"/>
        <v>0</v>
      </c>
      <c r="AE19" s="122">
        <f t="shared" si="14"/>
        <v>0</v>
      </c>
      <c r="AF19" s="122">
        <f t="shared" si="14"/>
        <v>0</v>
      </c>
      <c r="AG19" s="122">
        <f t="shared" si="14"/>
        <v>0</v>
      </c>
      <c r="AH19" s="122">
        <f t="shared" si="14"/>
        <v>0</v>
      </c>
      <c r="AI19" s="122">
        <f t="shared" si="14"/>
        <v>0</v>
      </c>
      <c r="AJ19" s="122">
        <f t="shared" si="14"/>
        <v>0</v>
      </c>
    </row>
    <row r="20" spans="1:36" x14ac:dyDescent="0.25">
      <c r="A20" s="11" t="s">
        <v>605</v>
      </c>
      <c r="B20" s="63" t="s">
        <v>40</v>
      </c>
      <c r="C20" s="122">
        <f t="shared" si="11"/>
        <v>903</v>
      </c>
      <c r="D20" s="122">
        <f t="shared" ref="D20:U20" si="19">ROUND((+D70*0.4),0)</f>
        <v>870</v>
      </c>
      <c r="E20" s="122">
        <f t="shared" si="19"/>
        <v>837</v>
      </c>
      <c r="F20" s="122">
        <f t="shared" si="19"/>
        <v>803</v>
      </c>
      <c r="G20" s="122">
        <f t="shared" si="19"/>
        <v>768</v>
      </c>
      <c r="H20" s="122">
        <f t="shared" si="19"/>
        <v>732</v>
      </c>
      <c r="I20" s="122">
        <f t="shared" si="19"/>
        <v>696</v>
      </c>
      <c r="J20" s="122">
        <f t="shared" si="19"/>
        <v>658</v>
      </c>
      <c r="K20" s="122">
        <f t="shared" si="19"/>
        <v>580</v>
      </c>
      <c r="L20" s="122">
        <f t="shared" si="19"/>
        <v>581</v>
      </c>
      <c r="M20" s="122">
        <f t="shared" si="19"/>
        <v>540</v>
      </c>
      <c r="N20" s="122">
        <f t="shared" si="19"/>
        <v>499</v>
      </c>
      <c r="O20" s="122">
        <f t="shared" si="19"/>
        <v>457</v>
      </c>
      <c r="P20" s="122">
        <f t="shared" si="19"/>
        <v>414</v>
      </c>
      <c r="Q20" s="122">
        <f t="shared" si="19"/>
        <v>369</v>
      </c>
      <c r="R20" s="122">
        <f t="shared" si="19"/>
        <v>324</v>
      </c>
      <c r="S20" s="122">
        <f t="shared" si="19"/>
        <v>277</v>
      </c>
      <c r="T20" s="122">
        <f t="shared" si="19"/>
        <v>230</v>
      </c>
      <c r="U20" s="122">
        <f t="shared" si="19"/>
        <v>181</v>
      </c>
      <c r="V20" s="122">
        <f t="shared" ref="V20:AC20" si="20">ROUND((+V70*0.4),0)</f>
        <v>131</v>
      </c>
      <c r="W20" s="122">
        <f t="shared" si="20"/>
        <v>79</v>
      </c>
      <c r="X20" s="122">
        <f t="shared" si="20"/>
        <v>27</v>
      </c>
      <c r="Y20" s="122">
        <f t="shared" si="20"/>
        <v>0</v>
      </c>
      <c r="Z20" s="122">
        <f t="shared" si="20"/>
        <v>0</v>
      </c>
      <c r="AA20" s="122">
        <f t="shared" si="20"/>
        <v>0</v>
      </c>
      <c r="AB20" s="122">
        <f t="shared" si="20"/>
        <v>0</v>
      </c>
      <c r="AC20" s="122">
        <f t="shared" si="20"/>
        <v>0</v>
      </c>
      <c r="AD20" s="122">
        <f t="shared" si="14"/>
        <v>0</v>
      </c>
      <c r="AE20" s="122">
        <f t="shared" si="14"/>
        <v>0</v>
      </c>
      <c r="AF20" s="122">
        <f t="shared" si="14"/>
        <v>0</v>
      </c>
      <c r="AG20" s="122">
        <f t="shared" si="14"/>
        <v>0</v>
      </c>
      <c r="AH20" s="122">
        <f t="shared" si="14"/>
        <v>0</v>
      </c>
      <c r="AI20" s="122">
        <f t="shared" si="14"/>
        <v>0</v>
      </c>
      <c r="AJ20" s="122">
        <f t="shared" si="14"/>
        <v>0</v>
      </c>
    </row>
    <row r="21" spans="1:36" s="411" customFormat="1" x14ac:dyDescent="0.25">
      <c r="A21" s="748">
        <v>5932</v>
      </c>
      <c r="B21" s="739" t="s">
        <v>38</v>
      </c>
      <c r="C21" s="735">
        <f t="shared" si="11"/>
        <v>16130</v>
      </c>
      <c r="D21" s="735">
        <f t="shared" ref="D21:U21" si="21">ROUND((+D71*0.4),0)</f>
        <v>15860</v>
      </c>
      <c r="E21" s="735">
        <f t="shared" si="21"/>
        <v>15578</v>
      </c>
      <c r="F21" s="735">
        <f t="shared" si="21"/>
        <v>15283</v>
      </c>
      <c r="G21" s="735">
        <f t="shared" si="21"/>
        <v>10765</v>
      </c>
      <c r="H21" s="735">
        <f t="shared" si="21"/>
        <v>10103</v>
      </c>
      <c r="I21" s="735">
        <f t="shared" si="21"/>
        <v>9703</v>
      </c>
      <c r="J21" s="735">
        <f t="shared" si="21"/>
        <v>9303</v>
      </c>
      <c r="K21" s="735">
        <f t="shared" si="21"/>
        <v>8803</v>
      </c>
      <c r="L21" s="735">
        <f t="shared" si="21"/>
        <v>8303</v>
      </c>
      <c r="M21" s="735">
        <f t="shared" si="21"/>
        <v>7803</v>
      </c>
      <c r="N21" s="735">
        <f t="shared" si="21"/>
        <v>7303</v>
      </c>
      <c r="O21" s="735">
        <f t="shared" si="21"/>
        <v>6703</v>
      </c>
      <c r="P21" s="735">
        <f t="shared" si="21"/>
        <v>6103</v>
      </c>
      <c r="Q21" s="735">
        <f t="shared" si="21"/>
        <v>5503</v>
      </c>
      <c r="R21" s="735">
        <f t="shared" si="21"/>
        <v>5223</v>
      </c>
      <c r="S21" s="735">
        <f t="shared" si="21"/>
        <v>4943</v>
      </c>
      <c r="T21" s="735">
        <f t="shared" si="21"/>
        <v>4663</v>
      </c>
      <c r="U21" s="735">
        <f t="shared" si="21"/>
        <v>4365</v>
      </c>
      <c r="V21" s="735">
        <f t="shared" ref="V21:AC21" si="22">ROUND((+V71*0.4),0)</f>
        <v>4068</v>
      </c>
      <c r="W21" s="735">
        <f t="shared" si="22"/>
        <v>3753</v>
      </c>
      <c r="X21" s="735">
        <f t="shared" si="22"/>
        <v>3420</v>
      </c>
      <c r="Y21" s="735">
        <f t="shared" si="22"/>
        <v>3040</v>
      </c>
      <c r="Z21" s="735">
        <f t="shared" si="22"/>
        <v>2660</v>
      </c>
      <c r="AA21" s="735">
        <f t="shared" si="22"/>
        <v>2260</v>
      </c>
      <c r="AB21" s="735">
        <f t="shared" si="22"/>
        <v>1860</v>
      </c>
      <c r="AC21" s="735">
        <f t="shared" si="22"/>
        <v>1440</v>
      </c>
      <c r="AD21" s="735">
        <f t="shared" si="14"/>
        <v>968</v>
      </c>
      <c r="AE21" s="735">
        <f t="shared" si="14"/>
        <v>495</v>
      </c>
      <c r="AF21" s="735">
        <f t="shared" si="14"/>
        <v>0</v>
      </c>
      <c r="AG21" s="735">
        <f t="shared" si="14"/>
        <v>0</v>
      </c>
      <c r="AH21" s="735">
        <f t="shared" si="14"/>
        <v>0</v>
      </c>
      <c r="AI21" s="735">
        <f t="shared" si="14"/>
        <v>0</v>
      </c>
      <c r="AJ21" s="735">
        <f t="shared" si="14"/>
        <v>0</v>
      </c>
    </row>
    <row r="22" spans="1:36" ht="13.8" thickBot="1" x14ac:dyDescent="0.3">
      <c r="A22" s="11">
        <v>5933</v>
      </c>
      <c r="B22" s="63" t="s">
        <v>352</v>
      </c>
      <c r="C22" s="123">
        <f t="shared" si="11"/>
        <v>14962</v>
      </c>
      <c r="D22" s="123">
        <f t="shared" ref="D22:U22" si="23">ROUND((+D72*0.4),0)</f>
        <v>14729</v>
      </c>
      <c r="E22" s="123">
        <f t="shared" si="23"/>
        <v>14486</v>
      </c>
      <c r="F22" s="123">
        <f t="shared" si="23"/>
        <v>14233</v>
      </c>
      <c r="G22" s="123">
        <f t="shared" si="23"/>
        <v>13970</v>
      </c>
      <c r="H22" s="123">
        <f t="shared" si="23"/>
        <v>13695</v>
      </c>
      <c r="I22" s="123">
        <f t="shared" si="23"/>
        <v>13410</v>
      </c>
      <c r="J22" s="123">
        <f t="shared" si="23"/>
        <v>13112</v>
      </c>
      <c r="K22" s="123">
        <f t="shared" si="23"/>
        <v>12802</v>
      </c>
      <c r="L22" s="123">
        <f t="shared" si="23"/>
        <v>12480</v>
      </c>
      <c r="M22" s="123">
        <f t="shared" si="23"/>
        <v>12144</v>
      </c>
      <c r="N22" s="123">
        <f t="shared" si="23"/>
        <v>11795</v>
      </c>
      <c r="O22" s="123">
        <f t="shared" si="23"/>
        <v>11431</v>
      </c>
      <c r="P22" s="123">
        <f t="shared" si="23"/>
        <v>11052</v>
      </c>
      <c r="Q22" s="123">
        <f t="shared" si="23"/>
        <v>10657</v>
      </c>
      <c r="R22" s="123">
        <f t="shared" si="23"/>
        <v>10246</v>
      </c>
      <c r="S22" s="123">
        <f t="shared" si="23"/>
        <v>9818</v>
      </c>
      <c r="T22" s="123">
        <f t="shared" si="23"/>
        <v>9372</v>
      </c>
      <c r="U22" s="123">
        <f t="shared" si="23"/>
        <v>8908</v>
      </c>
      <c r="V22" s="123">
        <f t="shared" ref="V22:AC22" si="24">ROUND((+V72*0.4),0)</f>
        <v>8425</v>
      </c>
      <c r="W22" s="123">
        <f t="shared" si="24"/>
        <v>7922</v>
      </c>
      <c r="X22" s="123">
        <f t="shared" si="24"/>
        <v>7398</v>
      </c>
      <c r="Y22" s="123">
        <f t="shared" si="24"/>
        <v>6853</v>
      </c>
      <c r="Z22" s="123">
        <f t="shared" si="24"/>
        <v>6285</v>
      </c>
      <c r="AA22" s="123">
        <f t="shared" si="24"/>
        <v>5694</v>
      </c>
      <c r="AB22" s="123">
        <f t="shared" si="24"/>
        <v>5078</v>
      </c>
      <c r="AC22" s="123">
        <f t="shared" si="24"/>
        <v>4437</v>
      </c>
      <c r="AD22" s="123">
        <f t="shared" si="14"/>
        <v>3769</v>
      </c>
      <c r="AE22" s="123">
        <f t="shared" si="14"/>
        <v>3074</v>
      </c>
      <c r="AF22" s="123">
        <f t="shared" si="14"/>
        <v>1150</v>
      </c>
      <c r="AG22" s="123">
        <f t="shared" si="14"/>
        <v>1597</v>
      </c>
      <c r="AH22" s="123">
        <f t="shared" si="14"/>
        <v>812</v>
      </c>
      <c r="AI22" s="123">
        <f t="shared" si="14"/>
        <v>0</v>
      </c>
      <c r="AJ22" s="123">
        <f t="shared" si="14"/>
        <v>0</v>
      </c>
    </row>
    <row r="23" spans="1:36" x14ac:dyDescent="0.25">
      <c r="A23" s="11"/>
      <c r="B23" s="12"/>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row>
    <row r="24" spans="1:36" x14ac:dyDescent="0.25">
      <c r="A24" s="11"/>
      <c r="B24" s="17" t="s">
        <v>229</v>
      </c>
      <c r="C24" s="19">
        <f>SUM(C16:C23)</f>
        <v>51254</v>
      </c>
      <c r="D24" s="19">
        <f t="shared" ref="D24:U24" si="25">SUM(D16:D23)</f>
        <v>50081</v>
      </c>
      <c r="E24" s="19">
        <f t="shared" si="25"/>
        <v>48280</v>
      </c>
      <c r="F24" s="19">
        <f t="shared" si="25"/>
        <v>46724</v>
      </c>
      <c r="G24" s="19">
        <f t="shared" si="25"/>
        <v>40912</v>
      </c>
      <c r="H24" s="19">
        <f t="shared" si="25"/>
        <v>38921</v>
      </c>
      <c r="I24" s="19">
        <f t="shared" si="25"/>
        <v>37158</v>
      </c>
      <c r="J24" s="19">
        <f t="shared" si="25"/>
        <v>35357</v>
      </c>
      <c r="K24" s="19">
        <f t="shared" si="25"/>
        <v>33380</v>
      </c>
      <c r="L24" s="19">
        <f t="shared" si="25"/>
        <v>31446</v>
      </c>
      <c r="M24" s="19">
        <f t="shared" si="25"/>
        <v>29591</v>
      </c>
      <c r="N24" s="19">
        <f t="shared" si="25"/>
        <v>27627</v>
      </c>
      <c r="O24" s="19">
        <f t="shared" si="25"/>
        <v>25941</v>
      </c>
      <c r="P24" s="19">
        <f t="shared" si="25"/>
        <v>24222</v>
      </c>
      <c r="Q24" s="19">
        <f t="shared" si="25"/>
        <v>22468</v>
      </c>
      <c r="R24" s="19">
        <f t="shared" si="25"/>
        <v>21001</v>
      </c>
      <c r="S24" s="19">
        <f t="shared" si="25"/>
        <v>19496</v>
      </c>
      <c r="T24" s="19">
        <f t="shared" si="25"/>
        <v>17956</v>
      </c>
      <c r="U24" s="19">
        <f t="shared" si="25"/>
        <v>16358</v>
      </c>
      <c r="V24" s="19">
        <f t="shared" ref="V24:AJ24" si="26">SUM(V16:V23)</f>
        <v>14723</v>
      </c>
      <c r="W24" s="19">
        <f t="shared" si="26"/>
        <v>13028</v>
      </c>
      <c r="X24" s="19">
        <f t="shared" si="26"/>
        <v>11273</v>
      </c>
      <c r="Y24" s="19">
        <f t="shared" si="26"/>
        <v>9893</v>
      </c>
      <c r="Z24" s="19">
        <f t="shared" si="26"/>
        <v>8945</v>
      </c>
      <c r="AA24" s="19">
        <f t="shared" si="26"/>
        <v>7954</v>
      </c>
      <c r="AB24" s="19">
        <f t="shared" si="26"/>
        <v>6938</v>
      </c>
      <c r="AC24" s="19">
        <f t="shared" si="26"/>
        <v>5877</v>
      </c>
      <c r="AD24" s="19">
        <f t="shared" si="26"/>
        <v>4737</v>
      </c>
      <c r="AE24" s="19">
        <f t="shared" si="26"/>
        <v>3569</v>
      </c>
      <c r="AF24" s="19">
        <f t="shared" si="26"/>
        <v>1150</v>
      </c>
      <c r="AG24" s="19">
        <f t="shared" si="26"/>
        <v>1597</v>
      </c>
      <c r="AH24" s="19">
        <f t="shared" si="26"/>
        <v>812</v>
      </c>
      <c r="AI24" s="19">
        <f t="shared" si="26"/>
        <v>0</v>
      </c>
      <c r="AJ24" s="19">
        <f t="shared" si="26"/>
        <v>0</v>
      </c>
    </row>
    <row r="25" spans="1:36" x14ac:dyDescent="0.25">
      <c r="A25" s="11"/>
      <c r="B25" s="17"/>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row>
    <row r="26" spans="1:36" x14ac:dyDescent="0.25">
      <c r="A26" s="11"/>
      <c r="B26" s="12" t="s">
        <v>902</v>
      </c>
      <c r="C26" s="14">
        <f>+C24+C14</f>
        <v>103301</v>
      </c>
      <c r="D26" s="14">
        <f t="shared" ref="D26:U26" si="27">+D24+D14</f>
        <v>103534</v>
      </c>
      <c r="E26" s="14">
        <f t="shared" si="27"/>
        <v>103181</v>
      </c>
      <c r="F26" s="14">
        <f t="shared" si="27"/>
        <v>103117</v>
      </c>
      <c r="G26" s="14">
        <f t="shared" si="27"/>
        <v>99837</v>
      </c>
      <c r="H26" s="14">
        <f t="shared" si="27"/>
        <v>98784</v>
      </c>
      <c r="I26" s="14">
        <f t="shared" si="27"/>
        <v>98317</v>
      </c>
      <c r="J26" s="14">
        <f t="shared" si="27"/>
        <v>99846</v>
      </c>
      <c r="K26" s="14">
        <f t="shared" si="27"/>
        <v>99234</v>
      </c>
      <c r="L26" s="14">
        <f t="shared" si="27"/>
        <v>98703</v>
      </c>
      <c r="M26" s="14">
        <f t="shared" si="27"/>
        <v>98289</v>
      </c>
      <c r="N26" s="14">
        <f t="shared" si="27"/>
        <v>76297</v>
      </c>
      <c r="O26" s="14">
        <f t="shared" si="27"/>
        <v>75655</v>
      </c>
      <c r="P26" s="14">
        <f t="shared" si="27"/>
        <v>75012</v>
      </c>
      <c r="Q26" s="14">
        <f t="shared" si="27"/>
        <v>76367</v>
      </c>
      <c r="R26" s="14">
        <f t="shared" si="27"/>
        <v>76042</v>
      </c>
      <c r="S26" s="14">
        <f t="shared" si="27"/>
        <v>75714</v>
      </c>
      <c r="T26" s="14">
        <f t="shared" si="27"/>
        <v>75388</v>
      </c>
      <c r="U26" s="14">
        <f t="shared" si="27"/>
        <v>75040</v>
      </c>
      <c r="V26" s="14">
        <f t="shared" ref="V26:AC26" si="28">+V24+V14</f>
        <v>74694</v>
      </c>
      <c r="W26" s="14">
        <f t="shared" si="28"/>
        <v>74327</v>
      </c>
      <c r="X26" s="14">
        <f t="shared" si="28"/>
        <v>75941</v>
      </c>
      <c r="Y26" s="14">
        <f t="shared" si="28"/>
        <v>39660</v>
      </c>
      <c r="Z26" s="14">
        <f t="shared" si="28"/>
        <v>39280</v>
      </c>
      <c r="AA26" s="14">
        <f t="shared" si="28"/>
        <v>38881</v>
      </c>
      <c r="AB26" s="14">
        <f t="shared" si="28"/>
        <v>38480</v>
      </c>
      <c r="AC26" s="14">
        <f t="shared" si="28"/>
        <v>40061</v>
      </c>
      <c r="AD26" s="14">
        <f t="shared" ref="AD26:AJ26" si="29">+AD24+AD14</f>
        <v>39588</v>
      </c>
      <c r="AE26" s="14">
        <f t="shared" si="29"/>
        <v>39115</v>
      </c>
      <c r="AF26" s="14">
        <f t="shared" si="29"/>
        <v>19420</v>
      </c>
      <c r="AG26" s="14">
        <f t="shared" si="29"/>
        <v>20621</v>
      </c>
      <c r="AH26" s="14">
        <f t="shared" si="29"/>
        <v>20497</v>
      </c>
      <c r="AI26" s="14">
        <f t="shared" si="29"/>
        <v>0</v>
      </c>
      <c r="AJ26" s="14">
        <f t="shared" si="29"/>
        <v>0</v>
      </c>
    </row>
    <row r="28" spans="1:36" ht="13.8" thickBot="1" x14ac:dyDescent="0.3"/>
    <row r="29" spans="1:36" ht="13.8" thickTop="1" x14ac:dyDescent="0.25">
      <c r="A29" s="5"/>
      <c r="B29" s="6"/>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row>
    <row r="30" spans="1:36" x14ac:dyDescent="0.25">
      <c r="A30" s="86"/>
      <c r="B30" s="83" t="s">
        <v>901</v>
      </c>
      <c r="C30" s="47" t="s">
        <v>889</v>
      </c>
      <c r="D30" s="47" t="s">
        <v>905</v>
      </c>
      <c r="E30" s="47" t="s">
        <v>906</v>
      </c>
      <c r="F30" s="47" t="s">
        <v>907</v>
      </c>
      <c r="G30" s="47" t="s">
        <v>908</v>
      </c>
      <c r="H30" s="47" t="s">
        <v>909</v>
      </c>
      <c r="I30" s="47" t="s">
        <v>910</v>
      </c>
      <c r="J30" s="47" t="s">
        <v>911</v>
      </c>
      <c r="K30" s="47" t="s">
        <v>912</v>
      </c>
      <c r="L30" s="47" t="s">
        <v>913</v>
      </c>
      <c r="M30" s="47" t="s">
        <v>914</v>
      </c>
      <c r="N30" s="47" t="s">
        <v>915</v>
      </c>
      <c r="O30" s="47" t="s">
        <v>916</v>
      </c>
      <c r="P30" s="47" t="s">
        <v>917</v>
      </c>
      <c r="Q30" s="47" t="s">
        <v>918</v>
      </c>
      <c r="R30" s="47" t="s">
        <v>919</v>
      </c>
      <c r="S30" s="47" t="s">
        <v>920</v>
      </c>
      <c r="T30" s="47" t="s">
        <v>921</v>
      </c>
      <c r="U30" s="47" t="s">
        <v>922</v>
      </c>
      <c r="V30" s="47" t="s">
        <v>923</v>
      </c>
      <c r="W30" s="47" t="s">
        <v>924</v>
      </c>
      <c r="X30" s="47" t="s">
        <v>925</v>
      </c>
      <c r="Y30" s="47" t="s">
        <v>926</v>
      </c>
      <c r="Z30" s="47" t="s">
        <v>927</v>
      </c>
      <c r="AA30" s="47" t="s">
        <v>928</v>
      </c>
      <c r="AB30" s="47" t="s">
        <v>929</v>
      </c>
      <c r="AC30" s="47" t="s">
        <v>930</v>
      </c>
      <c r="AD30" s="47" t="s">
        <v>931</v>
      </c>
      <c r="AE30" s="47" t="s">
        <v>932</v>
      </c>
      <c r="AF30" s="47" t="s">
        <v>933</v>
      </c>
      <c r="AG30" s="47" t="s">
        <v>934</v>
      </c>
      <c r="AH30" s="47" t="s">
        <v>935</v>
      </c>
      <c r="AI30" s="47" t="s">
        <v>936</v>
      </c>
      <c r="AJ30" s="47" t="s">
        <v>937</v>
      </c>
    </row>
    <row r="31" spans="1:36" x14ac:dyDescent="0.25">
      <c r="A31" s="86"/>
      <c r="B31" s="83"/>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row>
    <row r="32" spans="1:36" ht="13.8" thickBot="1" x14ac:dyDescent="0.3">
      <c r="A32" s="8" t="s">
        <v>128</v>
      </c>
      <c r="B32" s="82"/>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row>
    <row r="33" spans="1:36" ht="13.8" thickTop="1" x14ac:dyDescent="0.25">
      <c r="A33" s="28"/>
      <c r="B33" s="2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row>
    <row r="34" spans="1:36" x14ac:dyDescent="0.25">
      <c r="A34" s="11">
        <v>710</v>
      </c>
      <c r="B34" s="12" t="s">
        <v>228</v>
      </c>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row>
    <row r="35" spans="1:36" x14ac:dyDescent="0.25">
      <c r="A35" s="11">
        <v>5930</v>
      </c>
      <c r="B35" s="110" t="s">
        <v>36</v>
      </c>
      <c r="C35" s="122">
        <f>+C60-C10</f>
        <v>28298</v>
      </c>
      <c r="D35" s="122">
        <f t="shared" ref="D35:U35" si="30">+D60-D10</f>
        <v>28869</v>
      </c>
      <c r="E35" s="122">
        <f t="shared" si="30"/>
        <v>29452</v>
      </c>
      <c r="F35" s="122">
        <f t="shared" si="30"/>
        <v>30047</v>
      </c>
      <c r="G35" s="122">
        <f t="shared" si="30"/>
        <v>31141</v>
      </c>
      <c r="H35" s="122">
        <f t="shared" si="30"/>
        <v>31274</v>
      </c>
      <c r="I35" s="122">
        <f t="shared" si="30"/>
        <v>31906</v>
      </c>
      <c r="J35" s="122">
        <f t="shared" si="30"/>
        <v>32550</v>
      </c>
      <c r="K35" s="122">
        <f t="shared" si="30"/>
        <v>33208</v>
      </c>
      <c r="L35" s="122">
        <f t="shared" si="30"/>
        <v>33878</v>
      </c>
      <c r="M35" s="122">
        <f t="shared" si="30"/>
        <v>34563</v>
      </c>
      <c r="N35" s="122">
        <f t="shared" si="30"/>
        <v>0</v>
      </c>
      <c r="O35" s="122">
        <f t="shared" si="30"/>
        <v>0</v>
      </c>
      <c r="P35" s="122">
        <f t="shared" si="30"/>
        <v>0</v>
      </c>
      <c r="Q35" s="122">
        <f t="shared" si="30"/>
        <v>0</v>
      </c>
      <c r="R35" s="122">
        <f t="shared" si="30"/>
        <v>0</v>
      </c>
      <c r="S35" s="122">
        <f t="shared" si="30"/>
        <v>0</v>
      </c>
      <c r="T35" s="122">
        <f t="shared" si="30"/>
        <v>0</v>
      </c>
      <c r="U35" s="122">
        <f t="shared" si="30"/>
        <v>0</v>
      </c>
      <c r="V35" s="122">
        <f t="shared" ref="V35:AC35" si="31">+V60-V10</f>
        <v>0</v>
      </c>
      <c r="W35" s="122">
        <f t="shared" si="31"/>
        <v>0</v>
      </c>
      <c r="X35" s="122">
        <f t="shared" si="31"/>
        <v>0</v>
      </c>
      <c r="Y35" s="122">
        <f t="shared" si="31"/>
        <v>0</v>
      </c>
      <c r="Z35" s="122">
        <f t="shared" si="31"/>
        <v>0</v>
      </c>
      <c r="AA35" s="122">
        <f t="shared" si="31"/>
        <v>0</v>
      </c>
      <c r="AB35" s="122">
        <f t="shared" si="31"/>
        <v>0</v>
      </c>
      <c r="AC35" s="122">
        <f t="shared" si="31"/>
        <v>0</v>
      </c>
      <c r="AD35" s="122">
        <f t="shared" ref="AD35:AJ38" si="32">+AD60-AD10</f>
        <v>0</v>
      </c>
      <c r="AE35" s="122">
        <f t="shared" si="32"/>
        <v>0</v>
      </c>
      <c r="AF35" s="122">
        <f t="shared" si="32"/>
        <v>0</v>
      </c>
      <c r="AG35" s="122">
        <f t="shared" si="32"/>
        <v>0</v>
      </c>
      <c r="AH35" s="122">
        <f t="shared" si="32"/>
        <v>0</v>
      </c>
      <c r="AI35" s="122">
        <f t="shared" si="32"/>
        <v>0</v>
      </c>
      <c r="AJ35" s="122">
        <f t="shared" si="32"/>
        <v>0</v>
      </c>
    </row>
    <row r="36" spans="1:36" x14ac:dyDescent="0.25">
      <c r="A36" s="11">
        <v>5931</v>
      </c>
      <c r="B36" s="63" t="s">
        <v>37</v>
      </c>
      <c r="C36" s="122">
        <f>+C61-C11</f>
        <v>32025</v>
      </c>
      <c r="D36" s="122">
        <f t="shared" ref="D36:U36" si="33">+D61-D11</f>
        <v>32807</v>
      </c>
      <c r="E36" s="122">
        <f t="shared" si="33"/>
        <v>33610</v>
      </c>
      <c r="F36" s="122">
        <f t="shared" si="33"/>
        <v>34430</v>
      </c>
      <c r="G36" s="122">
        <f t="shared" si="33"/>
        <v>35272</v>
      </c>
      <c r="H36" s="122">
        <f t="shared" si="33"/>
        <v>36134</v>
      </c>
      <c r="I36" s="122">
        <f t="shared" si="33"/>
        <v>37016</v>
      </c>
      <c r="J36" s="122">
        <f t="shared" si="33"/>
        <v>37921</v>
      </c>
      <c r="K36" s="122">
        <f t="shared" si="33"/>
        <v>38848</v>
      </c>
      <c r="L36" s="122">
        <f t="shared" si="33"/>
        <v>39797</v>
      </c>
      <c r="M36" s="122">
        <f t="shared" si="33"/>
        <v>40769</v>
      </c>
      <c r="N36" s="122">
        <f t="shared" si="33"/>
        <v>41765</v>
      </c>
      <c r="O36" s="122">
        <f t="shared" si="33"/>
        <v>42786</v>
      </c>
      <c r="P36" s="122">
        <f t="shared" si="33"/>
        <v>43832</v>
      </c>
      <c r="Q36" s="122">
        <f t="shared" si="33"/>
        <v>44903</v>
      </c>
      <c r="R36" s="122">
        <f t="shared" si="33"/>
        <v>46000</v>
      </c>
      <c r="S36" s="122">
        <f t="shared" si="33"/>
        <v>47124</v>
      </c>
      <c r="T36" s="122">
        <f t="shared" si="33"/>
        <v>48275</v>
      </c>
      <c r="U36" s="122">
        <f t="shared" si="33"/>
        <v>49455</v>
      </c>
      <c r="V36" s="122">
        <f t="shared" ref="V36:AC36" si="34">+V61-V11</f>
        <v>50663</v>
      </c>
      <c r="W36" s="122">
        <f t="shared" si="34"/>
        <v>51901</v>
      </c>
      <c r="X36" s="122">
        <f t="shared" si="34"/>
        <v>53170</v>
      </c>
      <c r="Y36" s="122">
        <f t="shared" si="34"/>
        <v>0</v>
      </c>
      <c r="Z36" s="122">
        <f t="shared" si="34"/>
        <v>0</v>
      </c>
      <c r="AA36" s="122">
        <f t="shared" si="34"/>
        <v>0</v>
      </c>
      <c r="AB36" s="122">
        <f t="shared" si="34"/>
        <v>0</v>
      </c>
      <c r="AC36" s="122">
        <f t="shared" si="34"/>
        <v>0</v>
      </c>
      <c r="AD36" s="122">
        <f t="shared" si="32"/>
        <v>0</v>
      </c>
      <c r="AE36" s="122">
        <f t="shared" si="32"/>
        <v>0</v>
      </c>
      <c r="AF36" s="122">
        <f t="shared" si="32"/>
        <v>0</v>
      </c>
      <c r="AG36" s="122">
        <f t="shared" si="32"/>
        <v>0</v>
      </c>
      <c r="AH36" s="122">
        <f t="shared" si="32"/>
        <v>0</v>
      </c>
      <c r="AI36" s="122">
        <f t="shared" si="32"/>
        <v>0</v>
      </c>
      <c r="AJ36" s="122">
        <f t="shared" si="32"/>
        <v>0</v>
      </c>
    </row>
    <row r="37" spans="1:36" x14ac:dyDescent="0.25">
      <c r="A37" s="11">
        <v>5932</v>
      </c>
      <c r="B37" s="63" t="s">
        <v>38</v>
      </c>
      <c r="C37" s="122">
        <f>+C62-C12</f>
        <v>9260</v>
      </c>
      <c r="D37" s="122">
        <f t="shared" ref="D37:U37" si="35">+D62-D12</f>
        <v>9665</v>
      </c>
      <c r="E37" s="122">
        <f t="shared" si="35"/>
        <v>10088</v>
      </c>
      <c r="F37" s="122">
        <f t="shared" si="35"/>
        <v>10530</v>
      </c>
      <c r="G37" s="122">
        <f t="shared" si="35"/>
        <v>12000</v>
      </c>
      <c r="H37" s="122">
        <f t="shared" si="35"/>
        <v>12000</v>
      </c>
      <c r="I37" s="122">
        <f t="shared" si="35"/>
        <v>12000</v>
      </c>
      <c r="J37" s="122">
        <f t="shared" si="35"/>
        <v>15000</v>
      </c>
      <c r="K37" s="122">
        <f t="shared" si="35"/>
        <v>15000</v>
      </c>
      <c r="L37" s="122">
        <f t="shared" si="35"/>
        <v>15000</v>
      </c>
      <c r="M37" s="122">
        <f t="shared" si="35"/>
        <v>15000</v>
      </c>
      <c r="N37" s="122">
        <f t="shared" si="35"/>
        <v>18000</v>
      </c>
      <c r="O37" s="122">
        <f t="shared" si="35"/>
        <v>18000</v>
      </c>
      <c r="P37" s="122">
        <f t="shared" si="35"/>
        <v>18000</v>
      </c>
      <c r="Q37" s="122">
        <f t="shared" si="35"/>
        <v>21000</v>
      </c>
      <c r="R37" s="122">
        <f t="shared" si="35"/>
        <v>21000</v>
      </c>
      <c r="S37" s="122">
        <f t="shared" si="35"/>
        <v>21000</v>
      </c>
      <c r="T37" s="122">
        <f t="shared" si="35"/>
        <v>21000</v>
      </c>
      <c r="U37" s="122">
        <f t="shared" si="35"/>
        <v>21000</v>
      </c>
      <c r="V37" s="122">
        <f t="shared" ref="V37:AC37" si="36">+V62-V12</f>
        <v>21000</v>
      </c>
      <c r="W37" s="122">
        <f t="shared" si="36"/>
        <v>21000</v>
      </c>
      <c r="X37" s="122">
        <f t="shared" si="36"/>
        <v>24000</v>
      </c>
      <c r="Y37" s="122">
        <f t="shared" si="36"/>
        <v>24000</v>
      </c>
      <c r="Z37" s="122">
        <f t="shared" si="36"/>
        <v>24000</v>
      </c>
      <c r="AA37" s="122">
        <f t="shared" si="36"/>
        <v>24000</v>
      </c>
      <c r="AB37" s="122">
        <f t="shared" si="36"/>
        <v>24000</v>
      </c>
      <c r="AC37" s="122">
        <f t="shared" si="36"/>
        <v>27000</v>
      </c>
      <c r="AD37" s="122">
        <f t="shared" si="32"/>
        <v>27000</v>
      </c>
      <c r="AE37" s="122">
        <f t="shared" si="32"/>
        <v>27000</v>
      </c>
      <c r="AF37" s="122">
        <f t="shared" si="32"/>
        <v>0</v>
      </c>
      <c r="AG37" s="122">
        <f t="shared" si="32"/>
        <v>0</v>
      </c>
      <c r="AH37" s="122">
        <f t="shared" si="32"/>
        <v>0</v>
      </c>
      <c r="AI37" s="122">
        <f t="shared" si="32"/>
        <v>0</v>
      </c>
      <c r="AJ37" s="122">
        <f t="shared" si="32"/>
        <v>0</v>
      </c>
    </row>
    <row r="38" spans="1:36" ht="13.8" thickBot="1" x14ac:dyDescent="0.3">
      <c r="A38" s="11">
        <v>5933</v>
      </c>
      <c r="B38" s="63" t="s">
        <v>352</v>
      </c>
      <c r="C38" s="123">
        <f>+C63-C13</f>
        <v>8487</v>
      </c>
      <c r="D38" s="123">
        <f t="shared" ref="D38:U38" si="37">+D63-D13</f>
        <v>8837</v>
      </c>
      <c r="E38" s="123">
        <f t="shared" si="37"/>
        <v>9202</v>
      </c>
      <c r="F38" s="123">
        <f t="shared" si="37"/>
        <v>9581</v>
      </c>
      <c r="G38" s="123">
        <f t="shared" si="37"/>
        <v>9976</v>
      </c>
      <c r="H38" s="123">
        <f t="shared" si="37"/>
        <v>10388</v>
      </c>
      <c r="I38" s="123">
        <f t="shared" si="37"/>
        <v>10816</v>
      </c>
      <c r="J38" s="123">
        <f t="shared" si="37"/>
        <v>11262</v>
      </c>
      <c r="K38" s="123">
        <f t="shared" si="37"/>
        <v>11727</v>
      </c>
      <c r="L38" s="123">
        <f t="shared" si="37"/>
        <v>12211</v>
      </c>
      <c r="M38" s="123">
        <f t="shared" si="37"/>
        <v>12714</v>
      </c>
      <c r="N38" s="123">
        <f t="shared" si="37"/>
        <v>13238</v>
      </c>
      <c r="O38" s="123">
        <f t="shared" si="37"/>
        <v>13784</v>
      </c>
      <c r="P38" s="123">
        <f t="shared" si="37"/>
        <v>14353</v>
      </c>
      <c r="Q38" s="123">
        <f t="shared" si="37"/>
        <v>14945</v>
      </c>
      <c r="R38" s="123">
        <f t="shared" si="37"/>
        <v>15562</v>
      </c>
      <c r="S38" s="123">
        <f t="shared" si="37"/>
        <v>16204</v>
      </c>
      <c r="T38" s="123">
        <f t="shared" si="37"/>
        <v>16872</v>
      </c>
      <c r="U38" s="123">
        <f t="shared" si="37"/>
        <v>17568</v>
      </c>
      <c r="V38" s="123">
        <f t="shared" ref="V38:AC38" si="38">+V63-V13</f>
        <v>18293</v>
      </c>
      <c r="W38" s="123">
        <f t="shared" si="38"/>
        <v>19048</v>
      </c>
      <c r="X38" s="123">
        <f t="shared" si="38"/>
        <v>19833</v>
      </c>
      <c r="Y38" s="123">
        <f t="shared" si="38"/>
        <v>20651</v>
      </c>
      <c r="Z38" s="123">
        <f t="shared" si="38"/>
        <v>21503</v>
      </c>
      <c r="AA38" s="123">
        <f t="shared" si="38"/>
        <v>22390</v>
      </c>
      <c r="AB38" s="123">
        <f t="shared" si="38"/>
        <v>23314</v>
      </c>
      <c r="AC38" s="123">
        <f t="shared" si="38"/>
        <v>24275</v>
      </c>
      <c r="AD38" s="123">
        <f t="shared" si="32"/>
        <v>25277</v>
      </c>
      <c r="AE38" s="123">
        <f t="shared" si="32"/>
        <v>26319</v>
      </c>
      <c r="AF38" s="123">
        <f t="shared" si="32"/>
        <v>27405</v>
      </c>
      <c r="AG38" s="123">
        <f t="shared" si="32"/>
        <v>28535</v>
      </c>
      <c r="AH38" s="123">
        <f t="shared" si="32"/>
        <v>29528</v>
      </c>
      <c r="AI38" s="123">
        <f t="shared" si="32"/>
        <v>0</v>
      </c>
      <c r="AJ38" s="123">
        <f t="shared" si="32"/>
        <v>0</v>
      </c>
    </row>
    <row r="39" spans="1:36" x14ac:dyDescent="0.25">
      <c r="A39" s="11"/>
      <c r="B39" s="17" t="s">
        <v>228</v>
      </c>
      <c r="C39" s="19">
        <f>SUM(C34:C38)</f>
        <v>78070</v>
      </c>
      <c r="D39" s="19">
        <f t="shared" ref="D39:U39" si="39">SUM(D34:D38)</f>
        <v>80178</v>
      </c>
      <c r="E39" s="19">
        <f t="shared" si="39"/>
        <v>82352</v>
      </c>
      <c r="F39" s="19">
        <f t="shared" si="39"/>
        <v>84588</v>
      </c>
      <c r="G39" s="19">
        <f t="shared" si="39"/>
        <v>88389</v>
      </c>
      <c r="H39" s="19">
        <f t="shared" si="39"/>
        <v>89796</v>
      </c>
      <c r="I39" s="19">
        <f t="shared" si="39"/>
        <v>91738</v>
      </c>
      <c r="J39" s="19">
        <f t="shared" si="39"/>
        <v>96733</v>
      </c>
      <c r="K39" s="19">
        <f t="shared" si="39"/>
        <v>98783</v>
      </c>
      <c r="L39" s="19">
        <f t="shared" si="39"/>
        <v>100886</v>
      </c>
      <c r="M39" s="19">
        <f t="shared" si="39"/>
        <v>103046</v>
      </c>
      <c r="N39" s="19">
        <f t="shared" si="39"/>
        <v>73003</v>
      </c>
      <c r="O39" s="19">
        <f t="shared" si="39"/>
        <v>74570</v>
      </c>
      <c r="P39" s="19">
        <f t="shared" si="39"/>
        <v>76185</v>
      </c>
      <c r="Q39" s="19">
        <f t="shared" si="39"/>
        <v>80848</v>
      </c>
      <c r="R39" s="19">
        <f t="shared" si="39"/>
        <v>82562</v>
      </c>
      <c r="S39" s="19">
        <f t="shared" si="39"/>
        <v>84328</v>
      </c>
      <c r="T39" s="19">
        <f t="shared" si="39"/>
        <v>86147</v>
      </c>
      <c r="U39" s="19">
        <f t="shared" si="39"/>
        <v>88023</v>
      </c>
      <c r="V39" s="19">
        <f t="shared" ref="V39:AJ39" si="40">SUM(V34:V38)</f>
        <v>89956</v>
      </c>
      <c r="W39" s="19">
        <f t="shared" si="40"/>
        <v>91949</v>
      </c>
      <c r="X39" s="19">
        <f t="shared" si="40"/>
        <v>97003</v>
      </c>
      <c r="Y39" s="19">
        <f t="shared" si="40"/>
        <v>44651</v>
      </c>
      <c r="Z39" s="19">
        <f t="shared" si="40"/>
        <v>45503</v>
      </c>
      <c r="AA39" s="19">
        <f t="shared" si="40"/>
        <v>46390</v>
      </c>
      <c r="AB39" s="19">
        <f t="shared" si="40"/>
        <v>47314</v>
      </c>
      <c r="AC39" s="19">
        <f t="shared" si="40"/>
        <v>51275</v>
      </c>
      <c r="AD39" s="19">
        <f t="shared" si="40"/>
        <v>52277</v>
      </c>
      <c r="AE39" s="19">
        <f t="shared" si="40"/>
        <v>53319</v>
      </c>
      <c r="AF39" s="19">
        <f t="shared" si="40"/>
        <v>27405</v>
      </c>
      <c r="AG39" s="19">
        <f t="shared" si="40"/>
        <v>28535</v>
      </c>
      <c r="AH39" s="19">
        <f t="shared" si="40"/>
        <v>29528</v>
      </c>
      <c r="AI39" s="19">
        <f t="shared" si="40"/>
        <v>0</v>
      </c>
      <c r="AJ39" s="19">
        <f t="shared" si="40"/>
        <v>0</v>
      </c>
    </row>
    <row r="40" spans="1:36" x14ac:dyDescent="0.25">
      <c r="A40" s="11"/>
      <c r="B40" s="12"/>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row>
    <row r="41" spans="1:36" x14ac:dyDescent="0.25">
      <c r="A41" s="11">
        <v>751</v>
      </c>
      <c r="B41" s="12" t="s">
        <v>229</v>
      </c>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row>
    <row r="42" spans="1:36" x14ac:dyDescent="0.25">
      <c r="A42" s="11">
        <v>5930</v>
      </c>
      <c r="B42" s="63" t="s">
        <v>36</v>
      </c>
      <c r="C42" s="122">
        <f t="shared" ref="C42:C47" si="41">+C67-C17</f>
        <v>6611</v>
      </c>
      <c r="D42" s="122">
        <f t="shared" ref="D42:U42" si="42">+D67-D17</f>
        <v>6400</v>
      </c>
      <c r="E42" s="122">
        <f t="shared" si="42"/>
        <v>5456</v>
      </c>
      <c r="F42" s="122">
        <f t="shared" si="42"/>
        <v>4861</v>
      </c>
      <c r="G42" s="122">
        <f t="shared" si="42"/>
        <v>4255</v>
      </c>
      <c r="H42" s="122">
        <f t="shared" si="42"/>
        <v>3635</v>
      </c>
      <c r="I42" s="122">
        <f t="shared" si="42"/>
        <v>3004</v>
      </c>
      <c r="J42" s="122">
        <f t="shared" si="42"/>
        <v>2359</v>
      </c>
      <c r="K42" s="122">
        <f t="shared" si="42"/>
        <v>1701</v>
      </c>
      <c r="L42" s="122">
        <f t="shared" si="42"/>
        <v>1030</v>
      </c>
      <c r="M42" s="122">
        <f t="shared" si="42"/>
        <v>346</v>
      </c>
      <c r="N42" s="122">
        <f t="shared" si="42"/>
        <v>0</v>
      </c>
      <c r="O42" s="122">
        <f t="shared" si="42"/>
        <v>0</v>
      </c>
      <c r="P42" s="122">
        <f t="shared" si="42"/>
        <v>0</v>
      </c>
      <c r="Q42" s="122">
        <f t="shared" si="42"/>
        <v>0</v>
      </c>
      <c r="R42" s="122">
        <f t="shared" si="42"/>
        <v>0</v>
      </c>
      <c r="S42" s="122">
        <f t="shared" si="42"/>
        <v>0</v>
      </c>
      <c r="T42" s="122">
        <f t="shared" si="42"/>
        <v>0</v>
      </c>
      <c r="U42" s="122">
        <f t="shared" si="42"/>
        <v>0</v>
      </c>
      <c r="V42" s="122">
        <f t="shared" ref="V42:AC42" si="43">+V67-V17</f>
        <v>0</v>
      </c>
      <c r="W42" s="122">
        <f t="shared" si="43"/>
        <v>0</v>
      </c>
      <c r="X42" s="122">
        <f t="shared" si="43"/>
        <v>0</v>
      </c>
      <c r="Y42" s="122">
        <f t="shared" si="43"/>
        <v>0</v>
      </c>
      <c r="Z42" s="122">
        <f t="shared" si="43"/>
        <v>0</v>
      </c>
      <c r="AA42" s="122">
        <f t="shared" si="43"/>
        <v>0</v>
      </c>
      <c r="AB42" s="122">
        <f t="shared" si="43"/>
        <v>0</v>
      </c>
      <c r="AC42" s="122">
        <f t="shared" si="43"/>
        <v>0</v>
      </c>
      <c r="AD42" s="122">
        <f t="shared" ref="AD42:AJ47" si="44">+AD67-AD17</f>
        <v>0</v>
      </c>
      <c r="AE42" s="122">
        <f t="shared" si="44"/>
        <v>0</v>
      </c>
      <c r="AF42" s="122">
        <f t="shared" si="44"/>
        <v>0</v>
      </c>
      <c r="AG42" s="122">
        <f t="shared" si="44"/>
        <v>0</v>
      </c>
      <c r="AH42" s="122">
        <f t="shared" si="44"/>
        <v>0</v>
      </c>
      <c r="AI42" s="122">
        <f t="shared" si="44"/>
        <v>0</v>
      </c>
      <c r="AJ42" s="122">
        <f t="shared" si="44"/>
        <v>0</v>
      </c>
    </row>
    <row r="43" spans="1:36" x14ac:dyDescent="0.25">
      <c r="A43" s="11" t="s">
        <v>604</v>
      </c>
      <c r="B43" s="63" t="s">
        <v>39</v>
      </c>
      <c r="C43" s="122">
        <f t="shared" si="41"/>
        <v>490</v>
      </c>
      <c r="D43" s="122">
        <f t="shared" ref="D43:U43" si="45">+D68-D18</f>
        <v>453</v>
      </c>
      <c r="E43" s="122">
        <f t="shared" si="45"/>
        <v>410</v>
      </c>
      <c r="F43" s="122">
        <f t="shared" si="45"/>
        <v>365</v>
      </c>
      <c r="G43" s="122">
        <f t="shared" si="45"/>
        <v>319</v>
      </c>
      <c r="H43" s="122">
        <f t="shared" si="45"/>
        <v>273</v>
      </c>
      <c r="I43" s="122">
        <f t="shared" si="45"/>
        <v>226</v>
      </c>
      <c r="J43" s="122">
        <f t="shared" si="45"/>
        <v>177</v>
      </c>
      <c r="K43" s="122">
        <f t="shared" si="45"/>
        <v>128</v>
      </c>
      <c r="L43" s="122">
        <f t="shared" si="45"/>
        <v>77</v>
      </c>
      <c r="M43" s="122">
        <f t="shared" si="45"/>
        <v>266</v>
      </c>
      <c r="N43" s="122">
        <f t="shared" si="45"/>
        <v>0</v>
      </c>
      <c r="O43" s="122">
        <f t="shared" si="45"/>
        <v>0</v>
      </c>
      <c r="P43" s="122">
        <f t="shared" si="45"/>
        <v>0</v>
      </c>
      <c r="Q43" s="122">
        <f t="shared" si="45"/>
        <v>0</v>
      </c>
      <c r="R43" s="122">
        <f t="shared" si="45"/>
        <v>0</v>
      </c>
      <c r="S43" s="122">
        <f t="shared" si="45"/>
        <v>0</v>
      </c>
      <c r="T43" s="122">
        <f t="shared" si="45"/>
        <v>0</v>
      </c>
      <c r="U43" s="122">
        <f t="shared" si="45"/>
        <v>0</v>
      </c>
      <c r="V43" s="122">
        <f t="shared" ref="V43:AC43" si="46">+V68-V18</f>
        <v>0</v>
      </c>
      <c r="W43" s="122">
        <f t="shared" si="46"/>
        <v>0</v>
      </c>
      <c r="X43" s="122">
        <f t="shared" si="46"/>
        <v>0</v>
      </c>
      <c r="Y43" s="122">
        <f t="shared" si="46"/>
        <v>0</v>
      </c>
      <c r="Z43" s="122">
        <f t="shared" si="46"/>
        <v>0</v>
      </c>
      <c r="AA43" s="122">
        <f t="shared" si="46"/>
        <v>0</v>
      </c>
      <c r="AB43" s="122">
        <f t="shared" si="46"/>
        <v>0</v>
      </c>
      <c r="AC43" s="122">
        <f t="shared" si="46"/>
        <v>0</v>
      </c>
      <c r="AD43" s="122">
        <f t="shared" si="44"/>
        <v>0</v>
      </c>
      <c r="AE43" s="122">
        <f t="shared" si="44"/>
        <v>0</v>
      </c>
      <c r="AF43" s="122">
        <f t="shared" si="44"/>
        <v>0</v>
      </c>
      <c r="AG43" s="122">
        <f t="shared" si="44"/>
        <v>0</v>
      </c>
      <c r="AH43" s="122">
        <f t="shared" si="44"/>
        <v>0</v>
      </c>
      <c r="AI43" s="122">
        <f t="shared" si="44"/>
        <v>0</v>
      </c>
      <c r="AJ43" s="122">
        <f t="shared" si="44"/>
        <v>0</v>
      </c>
    </row>
    <row r="44" spans="1:36" x14ac:dyDescent="0.25">
      <c r="A44" s="11">
        <v>5931</v>
      </c>
      <c r="B44" s="63" t="s">
        <v>37</v>
      </c>
      <c r="C44" s="122">
        <f t="shared" si="41"/>
        <v>21787</v>
      </c>
      <c r="D44" s="122">
        <f t="shared" ref="D44:U44" si="47">+D69-D19</f>
        <v>21081</v>
      </c>
      <c r="E44" s="122">
        <f t="shared" si="47"/>
        <v>20202</v>
      </c>
      <c r="F44" s="122">
        <f t="shared" si="47"/>
        <v>19381</v>
      </c>
      <c r="G44" s="122">
        <f t="shared" si="47"/>
        <v>18540</v>
      </c>
      <c r="H44" s="122">
        <f t="shared" si="47"/>
        <v>17678</v>
      </c>
      <c r="I44" s="122">
        <f t="shared" si="47"/>
        <v>16795</v>
      </c>
      <c r="J44" s="122">
        <f t="shared" si="47"/>
        <v>15890</v>
      </c>
      <c r="K44" s="122">
        <f t="shared" si="47"/>
        <v>14964</v>
      </c>
      <c r="L44" s="122">
        <f t="shared" si="47"/>
        <v>14015</v>
      </c>
      <c r="M44" s="122">
        <f t="shared" si="47"/>
        <v>13042</v>
      </c>
      <c r="N44" s="122">
        <f t="shared" si="47"/>
        <v>12046.119999999999</v>
      </c>
      <c r="O44" s="122">
        <f t="shared" si="47"/>
        <v>11026</v>
      </c>
      <c r="P44" s="122">
        <f t="shared" si="47"/>
        <v>9980</v>
      </c>
      <c r="Q44" s="122">
        <f t="shared" si="47"/>
        <v>8909</v>
      </c>
      <c r="R44" s="122">
        <f t="shared" si="47"/>
        <v>7812</v>
      </c>
      <c r="S44" s="122">
        <f t="shared" si="47"/>
        <v>6688</v>
      </c>
      <c r="T44" s="122">
        <f t="shared" si="47"/>
        <v>5536</v>
      </c>
      <c r="U44" s="122">
        <f t="shared" si="47"/>
        <v>4357</v>
      </c>
      <c r="V44" s="122">
        <f t="shared" ref="V44:AC44" si="48">+V69-V19</f>
        <v>3148</v>
      </c>
      <c r="W44" s="122">
        <f t="shared" si="48"/>
        <v>1910</v>
      </c>
      <c r="X44" s="122">
        <f t="shared" si="48"/>
        <v>642</v>
      </c>
      <c r="Y44" s="122">
        <f t="shared" si="48"/>
        <v>0</v>
      </c>
      <c r="Z44" s="122">
        <f t="shared" si="48"/>
        <v>0</v>
      </c>
      <c r="AA44" s="122">
        <f t="shared" si="48"/>
        <v>0</v>
      </c>
      <c r="AB44" s="122">
        <f t="shared" si="48"/>
        <v>0</v>
      </c>
      <c r="AC44" s="122">
        <f t="shared" si="48"/>
        <v>0</v>
      </c>
      <c r="AD44" s="122">
        <f t="shared" si="44"/>
        <v>0</v>
      </c>
      <c r="AE44" s="122">
        <f t="shared" si="44"/>
        <v>0</v>
      </c>
      <c r="AF44" s="122">
        <f t="shared" si="44"/>
        <v>0</v>
      </c>
      <c r="AG44" s="122">
        <f t="shared" si="44"/>
        <v>0</v>
      </c>
      <c r="AH44" s="122">
        <f t="shared" si="44"/>
        <v>0</v>
      </c>
      <c r="AI44" s="122">
        <f t="shared" si="44"/>
        <v>0</v>
      </c>
      <c r="AJ44" s="122">
        <f t="shared" si="44"/>
        <v>0</v>
      </c>
    </row>
    <row r="45" spans="1:36" x14ac:dyDescent="0.25">
      <c r="A45" s="11" t="s">
        <v>605</v>
      </c>
      <c r="B45" s="63" t="s">
        <v>40</v>
      </c>
      <c r="C45" s="122">
        <f t="shared" si="41"/>
        <v>1354</v>
      </c>
      <c r="D45" s="122">
        <f t="shared" ref="D45:U45" si="49">+D70-D20</f>
        <v>1306</v>
      </c>
      <c r="E45" s="122">
        <f t="shared" si="49"/>
        <v>1256</v>
      </c>
      <c r="F45" s="122">
        <f t="shared" si="49"/>
        <v>1205</v>
      </c>
      <c r="G45" s="122">
        <f t="shared" si="49"/>
        <v>1152</v>
      </c>
      <c r="H45" s="122">
        <f t="shared" si="49"/>
        <v>1099</v>
      </c>
      <c r="I45" s="122">
        <f t="shared" si="49"/>
        <v>1044</v>
      </c>
      <c r="J45" s="122">
        <f t="shared" si="49"/>
        <v>988</v>
      </c>
      <c r="K45" s="122">
        <f t="shared" si="49"/>
        <v>870</v>
      </c>
      <c r="L45" s="122">
        <f t="shared" si="49"/>
        <v>871</v>
      </c>
      <c r="M45" s="122">
        <f t="shared" si="49"/>
        <v>811</v>
      </c>
      <c r="N45" s="122">
        <f t="shared" si="49"/>
        <v>749</v>
      </c>
      <c r="O45" s="122">
        <f t="shared" si="49"/>
        <v>685</v>
      </c>
      <c r="P45" s="122">
        <f t="shared" si="49"/>
        <v>620</v>
      </c>
      <c r="Q45" s="122">
        <f t="shared" si="49"/>
        <v>554</v>
      </c>
      <c r="R45" s="122">
        <f t="shared" si="49"/>
        <v>485</v>
      </c>
      <c r="S45" s="122">
        <f t="shared" si="49"/>
        <v>416</v>
      </c>
      <c r="T45" s="122">
        <f t="shared" si="49"/>
        <v>344</v>
      </c>
      <c r="U45" s="122">
        <f t="shared" si="49"/>
        <v>271</v>
      </c>
      <c r="V45" s="122">
        <f t="shared" ref="V45:AC45" si="50">+V70-V20</f>
        <v>196</v>
      </c>
      <c r="W45" s="122">
        <f t="shared" si="50"/>
        <v>119</v>
      </c>
      <c r="X45" s="122">
        <f t="shared" si="50"/>
        <v>40</v>
      </c>
      <c r="Y45" s="122">
        <f t="shared" si="50"/>
        <v>0</v>
      </c>
      <c r="Z45" s="122">
        <f t="shared" si="50"/>
        <v>0</v>
      </c>
      <c r="AA45" s="122">
        <f t="shared" si="50"/>
        <v>0</v>
      </c>
      <c r="AB45" s="122">
        <f t="shared" si="50"/>
        <v>0</v>
      </c>
      <c r="AC45" s="122">
        <f t="shared" si="50"/>
        <v>0</v>
      </c>
      <c r="AD45" s="122">
        <f t="shared" si="44"/>
        <v>0</v>
      </c>
      <c r="AE45" s="122">
        <f t="shared" si="44"/>
        <v>0</v>
      </c>
      <c r="AF45" s="122">
        <f t="shared" si="44"/>
        <v>0</v>
      </c>
      <c r="AG45" s="122">
        <f t="shared" si="44"/>
        <v>0</v>
      </c>
      <c r="AH45" s="122">
        <f t="shared" si="44"/>
        <v>0</v>
      </c>
      <c r="AI45" s="122">
        <f t="shared" si="44"/>
        <v>0</v>
      </c>
      <c r="AJ45" s="122">
        <f t="shared" si="44"/>
        <v>0</v>
      </c>
    </row>
    <row r="46" spans="1:36" x14ac:dyDescent="0.25">
      <c r="A46" s="11">
        <v>5932</v>
      </c>
      <c r="B46" s="63" t="s">
        <v>38</v>
      </c>
      <c r="C46" s="122">
        <f t="shared" si="41"/>
        <v>24194</v>
      </c>
      <c r="D46" s="122">
        <f t="shared" ref="D46:U46" si="51">+D71-D21</f>
        <v>23789</v>
      </c>
      <c r="E46" s="122">
        <f t="shared" si="51"/>
        <v>23366</v>
      </c>
      <c r="F46" s="122">
        <f t="shared" si="51"/>
        <v>22925</v>
      </c>
      <c r="G46" s="122">
        <f t="shared" si="51"/>
        <v>16148</v>
      </c>
      <c r="H46" s="122">
        <f t="shared" si="51"/>
        <v>15154</v>
      </c>
      <c r="I46" s="122">
        <f t="shared" si="51"/>
        <v>14554</v>
      </c>
      <c r="J46" s="122">
        <f t="shared" si="51"/>
        <v>13954</v>
      </c>
      <c r="K46" s="122">
        <f t="shared" si="51"/>
        <v>13204</v>
      </c>
      <c r="L46" s="122">
        <f t="shared" si="51"/>
        <v>12454</v>
      </c>
      <c r="M46" s="122">
        <f t="shared" si="51"/>
        <v>11704</v>
      </c>
      <c r="N46" s="122">
        <f t="shared" si="51"/>
        <v>10954</v>
      </c>
      <c r="O46" s="122">
        <f t="shared" si="51"/>
        <v>10054</v>
      </c>
      <c r="P46" s="122">
        <f t="shared" si="51"/>
        <v>9154</v>
      </c>
      <c r="Q46" s="122">
        <f t="shared" si="51"/>
        <v>8254</v>
      </c>
      <c r="R46" s="122">
        <f t="shared" si="51"/>
        <v>7834</v>
      </c>
      <c r="S46" s="122">
        <f t="shared" si="51"/>
        <v>7414</v>
      </c>
      <c r="T46" s="122">
        <f t="shared" si="51"/>
        <v>6994</v>
      </c>
      <c r="U46" s="122">
        <f t="shared" si="51"/>
        <v>6548</v>
      </c>
      <c r="V46" s="122">
        <f t="shared" ref="V46:AC46" si="52">+V71-V21</f>
        <v>6101</v>
      </c>
      <c r="W46" s="122">
        <f t="shared" si="52"/>
        <v>5629</v>
      </c>
      <c r="X46" s="122">
        <f t="shared" si="52"/>
        <v>5130</v>
      </c>
      <c r="Y46" s="122">
        <f t="shared" si="52"/>
        <v>4560</v>
      </c>
      <c r="Z46" s="122">
        <f t="shared" si="52"/>
        <v>3990</v>
      </c>
      <c r="AA46" s="122">
        <f t="shared" si="52"/>
        <v>3390</v>
      </c>
      <c r="AB46" s="122">
        <f t="shared" si="52"/>
        <v>2790</v>
      </c>
      <c r="AC46" s="122">
        <f t="shared" si="52"/>
        <v>2160</v>
      </c>
      <c r="AD46" s="122">
        <f t="shared" si="44"/>
        <v>1451</v>
      </c>
      <c r="AE46" s="122">
        <f t="shared" si="44"/>
        <v>743</v>
      </c>
      <c r="AF46" s="122">
        <f t="shared" si="44"/>
        <v>0</v>
      </c>
      <c r="AG46" s="122">
        <f t="shared" si="44"/>
        <v>0</v>
      </c>
      <c r="AH46" s="122">
        <f t="shared" si="44"/>
        <v>0</v>
      </c>
      <c r="AI46" s="122">
        <f t="shared" si="44"/>
        <v>0</v>
      </c>
      <c r="AJ46" s="122">
        <f t="shared" si="44"/>
        <v>0</v>
      </c>
    </row>
    <row r="47" spans="1:36" ht="13.8" thickBot="1" x14ac:dyDescent="0.3">
      <c r="A47" s="11">
        <v>5933</v>
      </c>
      <c r="B47" s="63" t="s">
        <v>352</v>
      </c>
      <c r="C47" s="123">
        <f t="shared" si="41"/>
        <v>22444</v>
      </c>
      <c r="D47" s="123">
        <f t="shared" ref="D47:U47" si="53">+D72-D22</f>
        <v>22094</v>
      </c>
      <c r="E47" s="123">
        <f t="shared" si="53"/>
        <v>21729</v>
      </c>
      <c r="F47" s="123">
        <f t="shared" si="53"/>
        <v>21350</v>
      </c>
      <c r="G47" s="123">
        <f t="shared" si="53"/>
        <v>20954</v>
      </c>
      <c r="H47" s="123">
        <f t="shared" si="53"/>
        <v>20543</v>
      </c>
      <c r="I47" s="123">
        <f t="shared" si="53"/>
        <v>20114</v>
      </c>
      <c r="J47" s="123">
        <f t="shared" si="53"/>
        <v>19669</v>
      </c>
      <c r="K47" s="123">
        <f t="shared" si="53"/>
        <v>19204</v>
      </c>
      <c r="L47" s="123">
        <f t="shared" si="53"/>
        <v>18720</v>
      </c>
      <c r="M47" s="123">
        <f t="shared" si="53"/>
        <v>18217</v>
      </c>
      <c r="N47" s="123">
        <f t="shared" si="53"/>
        <v>17692</v>
      </c>
      <c r="O47" s="123">
        <f t="shared" si="53"/>
        <v>17146</v>
      </c>
      <c r="P47" s="123">
        <f t="shared" si="53"/>
        <v>16577</v>
      </c>
      <c r="Q47" s="123">
        <f t="shared" si="53"/>
        <v>15985</v>
      </c>
      <c r="R47" s="123">
        <f t="shared" si="53"/>
        <v>15369</v>
      </c>
      <c r="S47" s="123">
        <f t="shared" si="53"/>
        <v>14727</v>
      </c>
      <c r="T47" s="123">
        <f t="shared" si="53"/>
        <v>14059</v>
      </c>
      <c r="U47" s="123">
        <f t="shared" si="53"/>
        <v>13363</v>
      </c>
      <c r="V47" s="123">
        <f t="shared" ref="V47:AC47" si="54">+V72-V22</f>
        <v>12638</v>
      </c>
      <c r="W47" s="123">
        <f t="shared" si="54"/>
        <v>11883</v>
      </c>
      <c r="X47" s="123">
        <f t="shared" si="54"/>
        <v>11098</v>
      </c>
      <c r="Y47" s="123">
        <f t="shared" si="54"/>
        <v>10280</v>
      </c>
      <c r="Z47" s="123">
        <f t="shared" si="54"/>
        <v>9428</v>
      </c>
      <c r="AA47" s="123">
        <f t="shared" si="54"/>
        <v>8540</v>
      </c>
      <c r="AB47" s="123">
        <f t="shared" si="54"/>
        <v>7617</v>
      </c>
      <c r="AC47" s="123">
        <f t="shared" si="54"/>
        <v>6655</v>
      </c>
      <c r="AD47" s="123">
        <f t="shared" si="44"/>
        <v>5654</v>
      </c>
      <c r="AE47" s="123">
        <f t="shared" si="44"/>
        <v>4612</v>
      </c>
      <c r="AF47" s="123">
        <f t="shared" si="44"/>
        <v>1726</v>
      </c>
      <c r="AG47" s="123">
        <f t="shared" si="44"/>
        <v>2395</v>
      </c>
      <c r="AH47" s="123">
        <f t="shared" si="44"/>
        <v>1218</v>
      </c>
      <c r="AI47" s="123">
        <f t="shared" si="44"/>
        <v>0</v>
      </c>
      <c r="AJ47" s="123">
        <f t="shared" si="44"/>
        <v>0</v>
      </c>
    </row>
    <row r="48" spans="1:36" x14ac:dyDescent="0.25">
      <c r="A48" s="11"/>
      <c r="B48" s="12"/>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row>
    <row r="49" spans="1:36" x14ac:dyDescent="0.25">
      <c r="A49" s="11"/>
      <c r="B49" s="17" t="s">
        <v>229</v>
      </c>
      <c r="C49" s="19">
        <f>SUM(C41:C48)</f>
        <v>76880</v>
      </c>
      <c r="D49" s="19">
        <f t="shared" ref="D49:U49" si="55">SUM(D41:D48)</f>
        <v>75123</v>
      </c>
      <c r="E49" s="19">
        <f t="shared" si="55"/>
        <v>72419</v>
      </c>
      <c r="F49" s="19">
        <f t="shared" si="55"/>
        <v>70087</v>
      </c>
      <c r="G49" s="19">
        <f t="shared" si="55"/>
        <v>61368</v>
      </c>
      <c r="H49" s="19">
        <f t="shared" si="55"/>
        <v>58382</v>
      </c>
      <c r="I49" s="19">
        <f t="shared" si="55"/>
        <v>55737</v>
      </c>
      <c r="J49" s="19">
        <f t="shared" si="55"/>
        <v>53037</v>
      </c>
      <c r="K49" s="19">
        <f t="shared" si="55"/>
        <v>50071</v>
      </c>
      <c r="L49" s="19">
        <f t="shared" si="55"/>
        <v>47167</v>
      </c>
      <c r="M49" s="19">
        <f t="shared" si="55"/>
        <v>44386</v>
      </c>
      <c r="N49" s="19">
        <f t="shared" si="55"/>
        <v>41441.119999999995</v>
      </c>
      <c r="O49" s="19">
        <f t="shared" si="55"/>
        <v>38911</v>
      </c>
      <c r="P49" s="19">
        <f t="shared" si="55"/>
        <v>36331</v>
      </c>
      <c r="Q49" s="19">
        <f t="shared" si="55"/>
        <v>33702</v>
      </c>
      <c r="R49" s="19">
        <f t="shared" si="55"/>
        <v>31500</v>
      </c>
      <c r="S49" s="19">
        <f t="shared" si="55"/>
        <v>29245</v>
      </c>
      <c r="T49" s="19">
        <f t="shared" si="55"/>
        <v>26933</v>
      </c>
      <c r="U49" s="19">
        <f t="shared" si="55"/>
        <v>24539</v>
      </c>
      <c r="V49" s="19">
        <f t="shared" ref="V49:AJ49" si="56">SUM(V41:V48)</f>
        <v>22083</v>
      </c>
      <c r="W49" s="19">
        <f t="shared" si="56"/>
        <v>19541</v>
      </c>
      <c r="X49" s="19">
        <f t="shared" si="56"/>
        <v>16910</v>
      </c>
      <c r="Y49" s="19">
        <f t="shared" si="56"/>
        <v>14840</v>
      </c>
      <c r="Z49" s="19">
        <f t="shared" si="56"/>
        <v>13418</v>
      </c>
      <c r="AA49" s="19">
        <f t="shared" si="56"/>
        <v>11930</v>
      </c>
      <c r="AB49" s="19">
        <f t="shared" si="56"/>
        <v>10407</v>
      </c>
      <c r="AC49" s="19">
        <f t="shared" si="56"/>
        <v>8815</v>
      </c>
      <c r="AD49" s="19">
        <f t="shared" si="56"/>
        <v>7105</v>
      </c>
      <c r="AE49" s="19">
        <f t="shared" si="56"/>
        <v>5355</v>
      </c>
      <c r="AF49" s="19">
        <f t="shared" si="56"/>
        <v>1726</v>
      </c>
      <c r="AG49" s="19">
        <f t="shared" si="56"/>
        <v>2395</v>
      </c>
      <c r="AH49" s="19">
        <f t="shared" si="56"/>
        <v>1218</v>
      </c>
      <c r="AI49" s="19">
        <f t="shared" si="56"/>
        <v>0</v>
      </c>
      <c r="AJ49" s="19">
        <f t="shared" si="56"/>
        <v>0</v>
      </c>
    </row>
    <row r="50" spans="1:36" x14ac:dyDescent="0.25">
      <c r="A50" s="11"/>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row>
    <row r="51" spans="1:36" x14ac:dyDescent="0.25">
      <c r="A51" s="11"/>
      <c r="B51" s="12" t="s">
        <v>903</v>
      </c>
      <c r="C51" s="14">
        <f>+C49+C39</f>
        <v>154950</v>
      </c>
      <c r="D51" s="14">
        <f t="shared" ref="D51:U51" si="57">+D49+D39</f>
        <v>155301</v>
      </c>
      <c r="E51" s="14">
        <f t="shared" si="57"/>
        <v>154771</v>
      </c>
      <c r="F51" s="14">
        <f t="shared" si="57"/>
        <v>154675</v>
      </c>
      <c r="G51" s="14">
        <f t="shared" si="57"/>
        <v>149757</v>
      </c>
      <c r="H51" s="14">
        <f t="shared" si="57"/>
        <v>148178</v>
      </c>
      <c r="I51" s="14">
        <f t="shared" si="57"/>
        <v>147475</v>
      </c>
      <c r="J51" s="14">
        <f t="shared" si="57"/>
        <v>149770</v>
      </c>
      <c r="K51" s="14">
        <f t="shared" si="57"/>
        <v>148854</v>
      </c>
      <c r="L51" s="14">
        <f t="shared" si="57"/>
        <v>148053</v>
      </c>
      <c r="M51" s="14">
        <f t="shared" si="57"/>
        <v>147432</v>
      </c>
      <c r="N51" s="14">
        <f t="shared" si="57"/>
        <v>114444.12</v>
      </c>
      <c r="O51" s="14">
        <f t="shared" si="57"/>
        <v>113481</v>
      </c>
      <c r="P51" s="14">
        <f t="shared" si="57"/>
        <v>112516</v>
      </c>
      <c r="Q51" s="14">
        <f t="shared" si="57"/>
        <v>114550</v>
      </c>
      <c r="R51" s="14">
        <f t="shared" si="57"/>
        <v>114062</v>
      </c>
      <c r="S51" s="14">
        <f t="shared" si="57"/>
        <v>113573</v>
      </c>
      <c r="T51" s="14">
        <f t="shared" si="57"/>
        <v>113080</v>
      </c>
      <c r="U51" s="14">
        <f t="shared" si="57"/>
        <v>112562</v>
      </c>
      <c r="V51" s="14">
        <f t="shared" ref="V51:AC51" si="58">+V49+V39</f>
        <v>112039</v>
      </c>
      <c r="W51" s="14">
        <f t="shared" si="58"/>
        <v>111490</v>
      </c>
      <c r="X51" s="14">
        <f t="shared" si="58"/>
        <v>113913</v>
      </c>
      <c r="Y51" s="14">
        <f t="shared" si="58"/>
        <v>59491</v>
      </c>
      <c r="Z51" s="14">
        <f t="shared" si="58"/>
        <v>58921</v>
      </c>
      <c r="AA51" s="14">
        <f t="shared" si="58"/>
        <v>58320</v>
      </c>
      <c r="AB51" s="14">
        <f t="shared" si="58"/>
        <v>57721</v>
      </c>
      <c r="AC51" s="14">
        <f t="shared" si="58"/>
        <v>60090</v>
      </c>
      <c r="AD51" s="14">
        <f t="shared" ref="AD51:AJ51" si="59">+AD49+AD39</f>
        <v>59382</v>
      </c>
      <c r="AE51" s="14">
        <f t="shared" si="59"/>
        <v>58674</v>
      </c>
      <c r="AF51" s="14">
        <f t="shared" si="59"/>
        <v>29131</v>
      </c>
      <c r="AG51" s="14">
        <f t="shared" si="59"/>
        <v>30930</v>
      </c>
      <c r="AH51" s="14">
        <f t="shared" si="59"/>
        <v>30746</v>
      </c>
      <c r="AI51" s="14">
        <f t="shared" si="59"/>
        <v>0</v>
      </c>
      <c r="AJ51" s="14">
        <f t="shared" si="59"/>
        <v>0</v>
      </c>
    </row>
    <row r="52" spans="1:36" x14ac:dyDescent="0.25">
      <c r="A52" s="26"/>
      <c r="B52" s="26"/>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row>
    <row r="53" spans="1:36" ht="13.8" thickBot="1" x14ac:dyDescent="0.3"/>
    <row r="54" spans="1:36" ht="13.8" thickTop="1" x14ac:dyDescent="0.25">
      <c r="A54" s="5"/>
      <c r="B54" s="6"/>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row>
    <row r="55" spans="1:36" x14ac:dyDescent="0.25">
      <c r="A55" s="86"/>
      <c r="B55" s="83" t="s">
        <v>899</v>
      </c>
      <c r="C55" s="47" t="s">
        <v>889</v>
      </c>
      <c r="D55" s="47" t="s">
        <v>905</v>
      </c>
      <c r="E55" s="47" t="s">
        <v>906</v>
      </c>
      <c r="F55" s="47" t="s">
        <v>907</v>
      </c>
      <c r="G55" s="47" t="s">
        <v>908</v>
      </c>
      <c r="H55" s="47" t="s">
        <v>909</v>
      </c>
      <c r="I55" s="47" t="s">
        <v>910</v>
      </c>
      <c r="J55" s="47" t="s">
        <v>911</v>
      </c>
      <c r="K55" s="47" t="s">
        <v>912</v>
      </c>
      <c r="L55" s="47" t="s">
        <v>913</v>
      </c>
      <c r="M55" s="47" t="s">
        <v>914</v>
      </c>
      <c r="N55" s="47" t="s">
        <v>915</v>
      </c>
      <c r="O55" s="47" t="s">
        <v>916</v>
      </c>
      <c r="P55" s="47" t="s">
        <v>917</v>
      </c>
      <c r="Q55" s="47" t="s">
        <v>918</v>
      </c>
      <c r="R55" s="47" t="s">
        <v>919</v>
      </c>
      <c r="S55" s="47" t="s">
        <v>920</v>
      </c>
      <c r="T55" s="47" t="s">
        <v>921</v>
      </c>
      <c r="U55" s="47" t="s">
        <v>922</v>
      </c>
      <c r="V55" s="47" t="s">
        <v>923</v>
      </c>
      <c r="W55" s="47" t="s">
        <v>924</v>
      </c>
      <c r="X55" s="47" t="s">
        <v>925</v>
      </c>
      <c r="Y55" s="47" t="s">
        <v>926</v>
      </c>
      <c r="Z55" s="47" t="s">
        <v>927</v>
      </c>
      <c r="AA55" s="47" t="s">
        <v>928</v>
      </c>
      <c r="AB55" s="47" t="s">
        <v>929</v>
      </c>
      <c r="AC55" s="47" t="s">
        <v>930</v>
      </c>
      <c r="AD55" s="47" t="s">
        <v>931</v>
      </c>
      <c r="AE55" s="47" t="s">
        <v>932</v>
      </c>
      <c r="AF55" s="47" t="s">
        <v>933</v>
      </c>
      <c r="AG55" s="47" t="s">
        <v>934</v>
      </c>
      <c r="AH55" s="47" t="s">
        <v>935</v>
      </c>
      <c r="AI55" s="47" t="s">
        <v>936</v>
      </c>
      <c r="AJ55" s="47" t="s">
        <v>937</v>
      </c>
    </row>
    <row r="56" spans="1:36" x14ac:dyDescent="0.25">
      <c r="A56" s="86"/>
      <c r="B56" s="83"/>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row>
    <row r="57" spans="1:36" ht="13.8" thickBot="1" x14ac:dyDescent="0.3">
      <c r="A57" s="8" t="s">
        <v>128</v>
      </c>
      <c r="B57" s="82"/>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row>
    <row r="58" spans="1:36" ht="13.8" thickTop="1" x14ac:dyDescent="0.25">
      <c r="A58" s="28"/>
      <c r="B58" s="2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row>
    <row r="59" spans="1:36" x14ac:dyDescent="0.25">
      <c r="A59" s="11">
        <v>710</v>
      </c>
      <c r="B59" s="12" t="s">
        <v>228</v>
      </c>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row>
    <row r="60" spans="1:36" x14ac:dyDescent="0.25">
      <c r="A60" s="11">
        <v>5930</v>
      </c>
      <c r="B60" s="110" t="s">
        <v>36</v>
      </c>
      <c r="C60" s="122">
        <v>47163</v>
      </c>
      <c r="D60" s="122">
        <v>48115</v>
      </c>
      <c r="E60" s="122">
        <v>49087</v>
      </c>
      <c r="F60" s="122">
        <v>50079</v>
      </c>
      <c r="G60" s="122">
        <v>51901</v>
      </c>
      <c r="H60" s="122">
        <v>52123</v>
      </c>
      <c r="I60" s="122">
        <v>53176</v>
      </c>
      <c r="J60" s="122">
        <v>54250</v>
      </c>
      <c r="K60" s="122">
        <v>55346</v>
      </c>
      <c r="L60" s="122">
        <v>56464</v>
      </c>
      <c r="M60" s="122">
        <v>57605</v>
      </c>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row>
    <row r="61" spans="1:36" x14ac:dyDescent="0.25">
      <c r="A61" s="11">
        <v>5931</v>
      </c>
      <c r="B61" s="63" t="s">
        <v>37</v>
      </c>
      <c r="C61" s="122">
        <v>53375</v>
      </c>
      <c r="D61" s="122">
        <v>54679</v>
      </c>
      <c r="E61" s="122">
        <v>56016</v>
      </c>
      <c r="F61" s="122">
        <v>57384</v>
      </c>
      <c r="G61" s="122">
        <v>58786</v>
      </c>
      <c r="H61" s="122">
        <v>60223</v>
      </c>
      <c r="I61" s="122">
        <v>61694</v>
      </c>
      <c r="J61" s="122">
        <v>63202</v>
      </c>
      <c r="K61" s="122">
        <v>64746</v>
      </c>
      <c r="L61" s="122">
        <v>66328</v>
      </c>
      <c r="M61" s="122">
        <v>67949</v>
      </c>
      <c r="N61" s="122">
        <v>69609</v>
      </c>
      <c r="O61" s="122">
        <v>71310</v>
      </c>
      <c r="P61" s="122">
        <v>73053</v>
      </c>
      <c r="Q61" s="122">
        <v>74838</v>
      </c>
      <c r="R61" s="122">
        <v>76667</v>
      </c>
      <c r="S61" s="122">
        <v>78540</v>
      </c>
      <c r="T61" s="122">
        <v>80459</v>
      </c>
      <c r="U61" s="122">
        <v>82425</v>
      </c>
      <c r="V61" s="122">
        <v>84439</v>
      </c>
      <c r="W61" s="122">
        <v>86502</v>
      </c>
      <c r="X61" s="122">
        <v>88616</v>
      </c>
      <c r="Y61" s="122"/>
      <c r="Z61" s="122"/>
      <c r="AA61" s="122"/>
      <c r="AB61" s="122"/>
      <c r="AC61" s="122"/>
      <c r="AD61" s="122"/>
      <c r="AE61" s="122"/>
      <c r="AF61" s="122"/>
      <c r="AG61" s="122"/>
      <c r="AH61" s="122"/>
      <c r="AI61" s="122"/>
      <c r="AJ61" s="122"/>
    </row>
    <row r="62" spans="1:36" s="411" customFormat="1" x14ac:dyDescent="0.25">
      <c r="A62" s="748">
        <v>5932</v>
      </c>
      <c r="B62" s="739" t="s">
        <v>38</v>
      </c>
      <c r="C62" s="735">
        <v>15434</v>
      </c>
      <c r="D62" s="735">
        <v>16109</v>
      </c>
      <c r="E62" s="735">
        <v>16814</v>
      </c>
      <c r="F62" s="735">
        <v>17550</v>
      </c>
      <c r="G62" s="735">
        <v>20000</v>
      </c>
      <c r="H62" s="735">
        <v>20000</v>
      </c>
      <c r="I62" s="735">
        <v>20000</v>
      </c>
      <c r="J62" s="735">
        <v>25000</v>
      </c>
      <c r="K62" s="735">
        <v>25000</v>
      </c>
      <c r="L62" s="735">
        <v>25000</v>
      </c>
      <c r="M62" s="735">
        <v>25000</v>
      </c>
      <c r="N62" s="735">
        <v>30000</v>
      </c>
      <c r="O62" s="735">
        <v>30000</v>
      </c>
      <c r="P62" s="735">
        <v>30000</v>
      </c>
      <c r="Q62" s="735">
        <v>35000</v>
      </c>
      <c r="R62" s="735">
        <v>35000</v>
      </c>
      <c r="S62" s="735">
        <v>35000</v>
      </c>
      <c r="T62" s="735">
        <v>35000</v>
      </c>
      <c r="U62" s="735">
        <v>35000</v>
      </c>
      <c r="V62" s="735">
        <v>35000</v>
      </c>
      <c r="W62" s="735">
        <v>35000</v>
      </c>
      <c r="X62" s="735">
        <v>40000</v>
      </c>
      <c r="Y62" s="735">
        <v>40000</v>
      </c>
      <c r="Z62" s="735">
        <v>40000</v>
      </c>
      <c r="AA62" s="735">
        <v>40000</v>
      </c>
      <c r="AB62" s="735">
        <v>40000</v>
      </c>
      <c r="AC62" s="735">
        <v>45000</v>
      </c>
      <c r="AD62" s="735">
        <v>45000</v>
      </c>
      <c r="AE62" s="735">
        <v>45000</v>
      </c>
      <c r="AF62" s="735"/>
      <c r="AG62" s="735"/>
      <c r="AH62" s="735"/>
      <c r="AI62" s="735"/>
      <c r="AJ62" s="735"/>
    </row>
    <row r="63" spans="1:36" ht="13.8" thickBot="1" x14ac:dyDescent="0.3">
      <c r="A63" s="11">
        <v>5933</v>
      </c>
      <c r="B63" s="63" t="s">
        <v>352</v>
      </c>
      <c r="C63" s="123">
        <v>14145</v>
      </c>
      <c r="D63" s="123">
        <v>14728</v>
      </c>
      <c r="E63" s="123">
        <v>15336</v>
      </c>
      <c r="F63" s="123">
        <v>15968</v>
      </c>
      <c r="G63" s="123">
        <v>16627</v>
      </c>
      <c r="H63" s="123">
        <v>17313</v>
      </c>
      <c r="I63" s="123">
        <v>18027</v>
      </c>
      <c r="J63" s="123">
        <v>18770</v>
      </c>
      <c r="K63" s="123">
        <v>19545</v>
      </c>
      <c r="L63" s="123">
        <v>20351</v>
      </c>
      <c r="M63" s="123">
        <v>21190</v>
      </c>
      <c r="N63" s="123">
        <v>22064</v>
      </c>
      <c r="O63" s="123">
        <v>22974</v>
      </c>
      <c r="P63" s="123">
        <v>23922</v>
      </c>
      <c r="Q63" s="123">
        <v>24909</v>
      </c>
      <c r="R63" s="123">
        <v>25936</v>
      </c>
      <c r="S63" s="123">
        <v>27006</v>
      </c>
      <c r="T63" s="123">
        <v>28120</v>
      </c>
      <c r="U63" s="123">
        <v>29280</v>
      </c>
      <c r="V63" s="123">
        <v>30488</v>
      </c>
      <c r="W63" s="123">
        <v>31746</v>
      </c>
      <c r="X63" s="123">
        <v>33055</v>
      </c>
      <c r="Y63" s="123">
        <v>34418</v>
      </c>
      <c r="Z63" s="123">
        <v>35838</v>
      </c>
      <c r="AA63" s="123">
        <v>37317</v>
      </c>
      <c r="AB63" s="123">
        <v>38856</v>
      </c>
      <c r="AC63" s="123">
        <v>40459</v>
      </c>
      <c r="AD63" s="123">
        <v>42128</v>
      </c>
      <c r="AE63" s="123">
        <v>43865</v>
      </c>
      <c r="AF63" s="123">
        <v>45675</v>
      </c>
      <c r="AG63" s="123">
        <v>47559</v>
      </c>
      <c r="AH63" s="123">
        <v>49213</v>
      </c>
      <c r="AI63" s="123"/>
      <c r="AJ63" s="123"/>
    </row>
    <row r="64" spans="1:36" x14ac:dyDescent="0.25">
      <c r="A64" s="11"/>
      <c r="B64" s="17" t="s">
        <v>228</v>
      </c>
      <c r="C64" s="19">
        <f>SUM(C59:C63)</f>
        <v>130117</v>
      </c>
      <c r="D64" s="19">
        <f t="shared" ref="D64:U64" si="60">SUM(D59:D63)</f>
        <v>133631</v>
      </c>
      <c r="E64" s="19">
        <f t="shared" si="60"/>
        <v>137253</v>
      </c>
      <c r="F64" s="19">
        <f t="shared" si="60"/>
        <v>140981</v>
      </c>
      <c r="G64" s="19">
        <f t="shared" si="60"/>
        <v>147314</v>
      </c>
      <c r="H64" s="19">
        <f t="shared" si="60"/>
        <v>149659</v>
      </c>
      <c r="I64" s="19">
        <f t="shared" si="60"/>
        <v>152897</v>
      </c>
      <c r="J64" s="19">
        <f t="shared" si="60"/>
        <v>161222</v>
      </c>
      <c r="K64" s="19">
        <f t="shared" si="60"/>
        <v>164637</v>
      </c>
      <c r="L64" s="19">
        <f t="shared" si="60"/>
        <v>168143</v>
      </c>
      <c r="M64" s="19">
        <f t="shared" si="60"/>
        <v>171744</v>
      </c>
      <c r="N64" s="19">
        <f t="shared" si="60"/>
        <v>121673</v>
      </c>
      <c r="O64" s="19">
        <f t="shared" si="60"/>
        <v>124284</v>
      </c>
      <c r="P64" s="19">
        <f t="shared" si="60"/>
        <v>126975</v>
      </c>
      <c r="Q64" s="19">
        <f t="shared" si="60"/>
        <v>134747</v>
      </c>
      <c r="R64" s="19">
        <f t="shared" si="60"/>
        <v>137603</v>
      </c>
      <c r="S64" s="19">
        <f t="shared" si="60"/>
        <v>140546</v>
      </c>
      <c r="T64" s="19">
        <f t="shared" si="60"/>
        <v>143579</v>
      </c>
      <c r="U64" s="19">
        <f t="shared" si="60"/>
        <v>146705</v>
      </c>
      <c r="V64" s="19">
        <f t="shared" ref="V64:AJ64" si="61">SUM(V59:V63)</f>
        <v>149927</v>
      </c>
      <c r="W64" s="19">
        <f t="shared" si="61"/>
        <v>153248</v>
      </c>
      <c r="X64" s="19">
        <f t="shared" si="61"/>
        <v>161671</v>
      </c>
      <c r="Y64" s="19">
        <f t="shared" si="61"/>
        <v>74418</v>
      </c>
      <c r="Z64" s="19">
        <f t="shared" si="61"/>
        <v>75838</v>
      </c>
      <c r="AA64" s="19">
        <f t="shared" si="61"/>
        <v>77317</v>
      </c>
      <c r="AB64" s="19">
        <f t="shared" si="61"/>
        <v>78856</v>
      </c>
      <c r="AC64" s="19">
        <f t="shared" si="61"/>
        <v>85459</v>
      </c>
      <c r="AD64" s="19">
        <f t="shared" si="61"/>
        <v>87128</v>
      </c>
      <c r="AE64" s="19">
        <f t="shared" si="61"/>
        <v>88865</v>
      </c>
      <c r="AF64" s="19">
        <f t="shared" si="61"/>
        <v>45675</v>
      </c>
      <c r="AG64" s="19">
        <f t="shared" si="61"/>
        <v>47559</v>
      </c>
      <c r="AH64" s="19">
        <f t="shared" si="61"/>
        <v>49213</v>
      </c>
      <c r="AI64" s="19">
        <f t="shared" si="61"/>
        <v>0</v>
      </c>
      <c r="AJ64" s="19">
        <f t="shared" si="61"/>
        <v>0</v>
      </c>
    </row>
    <row r="65" spans="1:36" x14ac:dyDescent="0.25">
      <c r="A65" s="11"/>
      <c r="B65" s="12"/>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c r="AH65" s="170"/>
      <c r="AI65" s="170"/>
      <c r="AJ65" s="170"/>
    </row>
    <row r="66" spans="1:36" x14ac:dyDescent="0.25">
      <c r="A66" s="11">
        <v>751</v>
      </c>
      <c r="B66" s="12" t="s">
        <v>229</v>
      </c>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row>
    <row r="67" spans="1:36" x14ac:dyDescent="0.25">
      <c r="A67" s="11">
        <v>5930</v>
      </c>
      <c r="B67" s="63" t="s">
        <v>36</v>
      </c>
      <c r="C67" s="122">
        <v>11019</v>
      </c>
      <c r="D67" s="122">
        <v>10666</v>
      </c>
      <c r="E67" s="122">
        <v>9094</v>
      </c>
      <c r="F67" s="122">
        <v>8102</v>
      </c>
      <c r="G67" s="122">
        <v>7091</v>
      </c>
      <c r="H67" s="122">
        <v>6059</v>
      </c>
      <c r="I67" s="122">
        <v>5006</v>
      </c>
      <c r="J67" s="122">
        <v>3931</v>
      </c>
      <c r="K67" s="122">
        <v>2835</v>
      </c>
      <c r="L67" s="122">
        <v>1717</v>
      </c>
      <c r="M67" s="122">
        <v>577</v>
      </c>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row>
    <row r="68" spans="1:36" x14ac:dyDescent="0.25">
      <c r="A68" s="11" t="s">
        <v>604</v>
      </c>
      <c r="B68" s="63" t="s">
        <v>39</v>
      </c>
      <c r="C68" s="122">
        <v>817</v>
      </c>
      <c r="D68" s="122">
        <v>755</v>
      </c>
      <c r="E68" s="122">
        <v>683</v>
      </c>
      <c r="F68" s="122">
        <v>608</v>
      </c>
      <c r="G68" s="122">
        <v>532</v>
      </c>
      <c r="H68" s="122">
        <v>455</v>
      </c>
      <c r="I68" s="122">
        <v>376</v>
      </c>
      <c r="J68" s="122">
        <v>295</v>
      </c>
      <c r="K68" s="122">
        <v>213</v>
      </c>
      <c r="L68" s="122">
        <v>129</v>
      </c>
      <c r="M68" s="122">
        <v>444</v>
      </c>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row>
    <row r="69" spans="1:36" x14ac:dyDescent="0.25">
      <c r="A69" s="11">
        <v>5931</v>
      </c>
      <c r="B69" s="63" t="s">
        <v>37</v>
      </c>
      <c r="C69" s="122">
        <v>36311</v>
      </c>
      <c r="D69" s="122">
        <v>35135</v>
      </c>
      <c r="E69" s="122">
        <v>33670</v>
      </c>
      <c r="F69" s="122">
        <v>32302</v>
      </c>
      <c r="G69" s="122">
        <v>30900</v>
      </c>
      <c r="H69" s="122">
        <v>29463</v>
      </c>
      <c r="I69" s="122">
        <v>27992</v>
      </c>
      <c r="J69" s="122">
        <v>26484</v>
      </c>
      <c r="K69" s="122">
        <v>24940</v>
      </c>
      <c r="L69" s="122">
        <v>23358</v>
      </c>
      <c r="M69" s="122">
        <v>21737</v>
      </c>
      <c r="N69" s="122">
        <v>20076.12</v>
      </c>
      <c r="O69" s="122">
        <v>18376</v>
      </c>
      <c r="P69" s="122">
        <v>16633</v>
      </c>
      <c r="Q69" s="122">
        <v>14848</v>
      </c>
      <c r="R69" s="122">
        <v>13020</v>
      </c>
      <c r="S69" s="122">
        <v>11146</v>
      </c>
      <c r="T69" s="122">
        <v>9227</v>
      </c>
      <c r="U69" s="122">
        <v>7261</v>
      </c>
      <c r="V69" s="122">
        <v>5247</v>
      </c>
      <c r="W69" s="122">
        <v>3184</v>
      </c>
      <c r="X69" s="122">
        <v>1070</v>
      </c>
      <c r="Y69" s="122"/>
      <c r="Z69" s="122"/>
      <c r="AA69" s="122"/>
      <c r="AB69" s="122"/>
      <c r="AC69" s="122"/>
      <c r="AD69" s="122"/>
      <c r="AE69" s="122"/>
      <c r="AF69" s="122"/>
      <c r="AG69" s="122"/>
      <c r="AH69" s="122"/>
      <c r="AI69" s="122"/>
      <c r="AJ69" s="122"/>
    </row>
    <row r="70" spans="1:36" x14ac:dyDescent="0.25">
      <c r="A70" s="11" t="s">
        <v>605</v>
      </c>
      <c r="B70" s="63" t="s">
        <v>40</v>
      </c>
      <c r="C70" s="122">
        <v>2257</v>
      </c>
      <c r="D70" s="122">
        <v>2176</v>
      </c>
      <c r="E70" s="122">
        <v>2093</v>
      </c>
      <c r="F70" s="122">
        <v>2008</v>
      </c>
      <c r="G70" s="122">
        <v>1920</v>
      </c>
      <c r="H70" s="122">
        <v>1831</v>
      </c>
      <c r="I70" s="122">
        <v>1740</v>
      </c>
      <c r="J70" s="122">
        <v>1646</v>
      </c>
      <c r="K70" s="122">
        <v>1450</v>
      </c>
      <c r="L70" s="122">
        <v>1452</v>
      </c>
      <c r="M70" s="122">
        <v>1351</v>
      </c>
      <c r="N70" s="122">
        <v>1248</v>
      </c>
      <c r="O70" s="122">
        <v>1142</v>
      </c>
      <c r="P70" s="122">
        <v>1034</v>
      </c>
      <c r="Q70" s="122">
        <v>923</v>
      </c>
      <c r="R70" s="122">
        <v>809</v>
      </c>
      <c r="S70" s="122">
        <v>693</v>
      </c>
      <c r="T70" s="122">
        <v>574</v>
      </c>
      <c r="U70" s="122">
        <v>452</v>
      </c>
      <c r="V70" s="122">
        <v>327</v>
      </c>
      <c r="W70" s="122">
        <v>198</v>
      </c>
      <c r="X70" s="122">
        <v>67</v>
      </c>
      <c r="Y70" s="122"/>
      <c r="Z70" s="122"/>
      <c r="AA70" s="122"/>
      <c r="AB70" s="122"/>
      <c r="AC70" s="122"/>
      <c r="AD70" s="122"/>
      <c r="AE70" s="122"/>
      <c r="AF70" s="122"/>
      <c r="AG70" s="122"/>
      <c r="AH70" s="122"/>
      <c r="AI70" s="122"/>
      <c r="AJ70" s="122"/>
    </row>
    <row r="71" spans="1:36" s="411" customFormat="1" x14ac:dyDescent="0.25">
      <c r="A71" s="748">
        <v>5932</v>
      </c>
      <c r="B71" s="739" t="s">
        <v>38</v>
      </c>
      <c r="C71" s="735">
        <v>40324</v>
      </c>
      <c r="D71" s="735">
        <v>39649</v>
      </c>
      <c r="E71" s="735">
        <v>38944</v>
      </c>
      <c r="F71" s="735">
        <v>38208</v>
      </c>
      <c r="G71" s="735">
        <v>26913</v>
      </c>
      <c r="H71" s="735">
        <v>25257</v>
      </c>
      <c r="I71" s="735">
        <v>24257</v>
      </c>
      <c r="J71" s="735">
        <v>23257</v>
      </c>
      <c r="K71" s="735">
        <v>22007</v>
      </c>
      <c r="L71" s="735">
        <v>20757</v>
      </c>
      <c r="M71" s="735">
        <v>19507</v>
      </c>
      <c r="N71" s="735">
        <v>18257</v>
      </c>
      <c r="O71" s="735">
        <v>16757</v>
      </c>
      <c r="P71" s="735">
        <v>15257</v>
      </c>
      <c r="Q71" s="735">
        <v>13757</v>
      </c>
      <c r="R71" s="735">
        <v>13057</v>
      </c>
      <c r="S71" s="735">
        <v>12357</v>
      </c>
      <c r="T71" s="735">
        <v>11657</v>
      </c>
      <c r="U71" s="735">
        <v>10913</v>
      </c>
      <c r="V71" s="735">
        <v>10169</v>
      </c>
      <c r="W71" s="735">
        <v>9382</v>
      </c>
      <c r="X71" s="735">
        <v>8550</v>
      </c>
      <c r="Y71" s="735">
        <v>7600</v>
      </c>
      <c r="Z71" s="735">
        <v>6650</v>
      </c>
      <c r="AA71" s="735">
        <v>5650</v>
      </c>
      <c r="AB71" s="735">
        <v>4650</v>
      </c>
      <c r="AC71" s="735">
        <v>3600</v>
      </c>
      <c r="AD71" s="735">
        <v>2419</v>
      </c>
      <c r="AE71" s="735">
        <v>1238</v>
      </c>
      <c r="AF71" s="735"/>
      <c r="AG71" s="735"/>
      <c r="AH71" s="735"/>
      <c r="AI71" s="735"/>
      <c r="AJ71" s="735"/>
    </row>
    <row r="72" spans="1:36" ht="13.8" thickBot="1" x14ac:dyDescent="0.3">
      <c r="A72" s="11">
        <v>5933</v>
      </c>
      <c r="B72" s="63" t="s">
        <v>352</v>
      </c>
      <c r="C72" s="123">
        <v>37406</v>
      </c>
      <c r="D72" s="123">
        <v>36823</v>
      </c>
      <c r="E72" s="123">
        <v>36215</v>
      </c>
      <c r="F72" s="123">
        <v>35583</v>
      </c>
      <c r="G72" s="123">
        <v>34924</v>
      </c>
      <c r="H72" s="123">
        <v>34238</v>
      </c>
      <c r="I72" s="123">
        <v>33524</v>
      </c>
      <c r="J72" s="123">
        <v>32781</v>
      </c>
      <c r="K72" s="123">
        <v>32006</v>
      </c>
      <c r="L72" s="123">
        <v>31200</v>
      </c>
      <c r="M72" s="123">
        <v>30361</v>
      </c>
      <c r="N72" s="123">
        <v>29487</v>
      </c>
      <c r="O72" s="123">
        <v>28577</v>
      </c>
      <c r="P72" s="123">
        <v>27629</v>
      </c>
      <c r="Q72" s="123">
        <v>26642</v>
      </c>
      <c r="R72" s="123">
        <v>25615</v>
      </c>
      <c r="S72" s="123">
        <v>24545</v>
      </c>
      <c r="T72" s="123">
        <v>23431</v>
      </c>
      <c r="U72" s="123">
        <v>22271</v>
      </c>
      <c r="V72" s="123">
        <v>21063</v>
      </c>
      <c r="W72" s="123">
        <v>19805</v>
      </c>
      <c r="X72" s="123">
        <v>18496</v>
      </c>
      <c r="Y72" s="123">
        <v>17133</v>
      </c>
      <c r="Z72" s="123">
        <v>15713</v>
      </c>
      <c r="AA72" s="123">
        <v>14234</v>
      </c>
      <c r="AB72" s="123">
        <v>12695</v>
      </c>
      <c r="AC72" s="123">
        <v>11092</v>
      </c>
      <c r="AD72" s="123">
        <v>9423</v>
      </c>
      <c r="AE72" s="123">
        <v>7686</v>
      </c>
      <c r="AF72" s="123">
        <v>2876</v>
      </c>
      <c r="AG72" s="123">
        <v>3992</v>
      </c>
      <c r="AH72" s="123">
        <v>2030</v>
      </c>
      <c r="AI72" s="123"/>
      <c r="AJ72" s="123"/>
    </row>
    <row r="73" spans="1:36" x14ac:dyDescent="0.25">
      <c r="A73" s="11"/>
      <c r="B73" s="12"/>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row>
    <row r="74" spans="1:36" x14ac:dyDescent="0.25">
      <c r="A74" s="11"/>
      <c r="B74" s="17" t="s">
        <v>229</v>
      </c>
      <c r="C74" s="19">
        <f>SUM(C66:C73)</f>
        <v>128134</v>
      </c>
      <c r="D74" s="19">
        <f t="shared" ref="D74:U74" si="62">SUM(D66:D73)</f>
        <v>125204</v>
      </c>
      <c r="E74" s="19">
        <f t="shared" si="62"/>
        <v>120699</v>
      </c>
      <c r="F74" s="19">
        <f t="shared" si="62"/>
        <v>116811</v>
      </c>
      <c r="G74" s="19">
        <f t="shared" si="62"/>
        <v>102280</v>
      </c>
      <c r="H74" s="19">
        <f t="shared" si="62"/>
        <v>97303</v>
      </c>
      <c r="I74" s="19">
        <f t="shared" si="62"/>
        <v>92895</v>
      </c>
      <c r="J74" s="19">
        <f t="shared" si="62"/>
        <v>88394</v>
      </c>
      <c r="K74" s="19">
        <f t="shared" si="62"/>
        <v>83451</v>
      </c>
      <c r="L74" s="19">
        <f t="shared" si="62"/>
        <v>78613</v>
      </c>
      <c r="M74" s="19">
        <f t="shared" si="62"/>
        <v>73977</v>
      </c>
      <c r="N74" s="19">
        <f t="shared" si="62"/>
        <v>69068.12</v>
      </c>
      <c r="O74" s="19">
        <f t="shared" si="62"/>
        <v>64852</v>
      </c>
      <c r="P74" s="19">
        <f t="shared" si="62"/>
        <v>60553</v>
      </c>
      <c r="Q74" s="19">
        <f t="shared" si="62"/>
        <v>56170</v>
      </c>
      <c r="R74" s="19">
        <f t="shared" si="62"/>
        <v>52501</v>
      </c>
      <c r="S74" s="19">
        <f t="shared" si="62"/>
        <v>48741</v>
      </c>
      <c r="T74" s="19">
        <f t="shared" si="62"/>
        <v>44889</v>
      </c>
      <c r="U74" s="19">
        <f t="shared" si="62"/>
        <v>40897</v>
      </c>
      <c r="V74" s="19">
        <f t="shared" ref="V74:AJ74" si="63">SUM(V66:V73)</f>
        <v>36806</v>
      </c>
      <c r="W74" s="19">
        <f t="shared" si="63"/>
        <v>32569</v>
      </c>
      <c r="X74" s="19">
        <f t="shared" si="63"/>
        <v>28183</v>
      </c>
      <c r="Y74" s="19">
        <f t="shared" si="63"/>
        <v>24733</v>
      </c>
      <c r="Z74" s="19">
        <f t="shared" si="63"/>
        <v>22363</v>
      </c>
      <c r="AA74" s="19">
        <f t="shared" si="63"/>
        <v>19884</v>
      </c>
      <c r="AB74" s="19">
        <f t="shared" si="63"/>
        <v>17345</v>
      </c>
      <c r="AC74" s="19">
        <f t="shared" si="63"/>
        <v>14692</v>
      </c>
      <c r="AD74" s="19">
        <f t="shared" si="63"/>
        <v>11842</v>
      </c>
      <c r="AE74" s="19">
        <f t="shared" si="63"/>
        <v>8924</v>
      </c>
      <c r="AF74" s="19">
        <f t="shared" si="63"/>
        <v>2876</v>
      </c>
      <c r="AG74" s="19">
        <f t="shared" si="63"/>
        <v>3992</v>
      </c>
      <c r="AH74" s="19">
        <f t="shared" si="63"/>
        <v>2030</v>
      </c>
      <c r="AI74" s="19">
        <f t="shared" si="63"/>
        <v>0</v>
      </c>
      <c r="AJ74" s="19">
        <f t="shared" si="63"/>
        <v>0</v>
      </c>
    </row>
    <row r="75" spans="1:36" x14ac:dyDescent="0.25">
      <c r="A75" s="11"/>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row>
    <row r="76" spans="1:36" x14ac:dyDescent="0.25">
      <c r="B76" s="12" t="s">
        <v>180</v>
      </c>
      <c r="C76" s="14">
        <f>+C74+C64</f>
        <v>258251</v>
      </c>
      <c r="D76" s="14">
        <f t="shared" ref="D76:U76" si="64">+D74+D64</f>
        <v>258835</v>
      </c>
      <c r="E76" s="14">
        <f t="shared" si="64"/>
        <v>257952</v>
      </c>
      <c r="F76" s="14">
        <f t="shared" si="64"/>
        <v>257792</v>
      </c>
      <c r="G76" s="14">
        <f t="shared" si="64"/>
        <v>249594</v>
      </c>
      <c r="H76" s="14">
        <f t="shared" si="64"/>
        <v>246962</v>
      </c>
      <c r="I76" s="14">
        <f t="shared" si="64"/>
        <v>245792</v>
      </c>
      <c r="J76" s="14">
        <f t="shared" si="64"/>
        <v>249616</v>
      </c>
      <c r="K76" s="14">
        <f t="shared" si="64"/>
        <v>248088</v>
      </c>
      <c r="L76" s="14">
        <f t="shared" si="64"/>
        <v>246756</v>
      </c>
      <c r="M76" s="14">
        <f t="shared" si="64"/>
        <v>245721</v>
      </c>
      <c r="N76" s="14">
        <f t="shared" si="64"/>
        <v>190741.12</v>
      </c>
      <c r="O76" s="14">
        <f t="shared" si="64"/>
        <v>189136</v>
      </c>
      <c r="P76" s="14">
        <f t="shared" si="64"/>
        <v>187528</v>
      </c>
      <c r="Q76" s="14">
        <f t="shared" si="64"/>
        <v>190917</v>
      </c>
      <c r="R76" s="14">
        <f t="shared" si="64"/>
        <v>190104</v>
      </c>
      <c r="S76" s="14">
        <f t="shared" si="64"/>
        <v>189287</v>
      </c>
      <c r="T76" s="14">
        <f t="shared" si="64"/>
        <v>188468</v>
      </c>
      <c r="U76" s="14">
        <f t="shared" si="64"/>
        <v>187602</v>
      </c>
      <c r="V76" s="14">
        <f t="shared" ref="V76:AC76" si="65">+V74+V64</f>
        <v>186733</v>
      </c>
      <c r="W76" s="14">
        <f t="shared" si="65"/>
        <v>185817</v>
      </c>
      <c r="X76" s="14">
        <f t="shared" si="65"/>
        <v>189854</v>
      </c>
      <c r="Y76" s="14">
        <f t="shared" si="65"/>
        <v>99151</v>
      </c>
      <c r="Z76" s="14">
        <f t="shared" si="65"/>
        <v>98201</v>
      </c>
      <c r="AA76" s="14">
        <f t="shared" si="65"/>
        <v>97201</v>
      </c>
      <c r="AB76" s="14">
        <f t="shared" si="65"/>
        <v>96201</v>
      </c>
      <c r="AC76" s="14">
        <f t="shared" si="65"/>
        <v>100151</v>
      </c>
      <c r="AD76" s="14">
        <f t="shared" ref="AD76:AJ76" si="66">+AD74+AD64</f>
        <v>98970</v>
      </c>
      <c r="AE76" s="14">
        <f t="shared" si="66"/>
        <v>97789</v>
      </c>
      <c r="AF76" s="14">
        <f t="shared" si="66"/>
        <v>48551</v>
      </c>
      <c r="AG76" s="14">
        <f t="shared" si="66"/>
        <v>51551</v>
      </c>
      <c r="AH76" s="14">
        <f t="shared" si="66"/>
        <v>51243</v>
      </c>
      <c r="AI76" s="14">
        <f t="shared" si="66"/>
        <v>0</v>
      </c>
      <c r="AJ76" s="14">
        <f t="shared" si="66"/>
        <v>0</v>
      </c>
    </row>
    <row r="78" spans="1:36" x14ac:dyDescent="0.25">
      <c r="B78" t="s">
        <v>902</v>
      </c>
      <c r="C78" s="2">
        <f>+C26</f>
        <v>103301</v>
      </c>
      <c r="D78" s="2">
        <f t="shared" ref="D78:U78" si="67">+D26</f>
        <v>103534</v>
      </c>
      <c r="E78" s="2">
        <f t="shared" si="67"/>
        <v>103181</v>
      </c>
      <c r="F78" s="2">
        <f t="shared" si="67"/>
        <v>103117</v>
      </c>
      <c r="G78" s="2">
        <f t="shared" si="67"/>
        <v>99837</v>
      </c>
      <c r="H78" s="2">
        <f t="shared" si="67"/>
        <v>98784</v>
      </c>
      <c r="I78" s="2">
        <f t="shared" si="67"/>
        <v>98317</v>
      </c>
      <c r="J78" s="2">
        <f t="shared" si="67"/>
        <v>99846</v>
      </c>
      <c r="K78" s="2">
        <f t="shared" si="67"/>
        <v>99234</v>
      </c>
      <c r="L78" s="2">
        <f t="shared" si="67"/>
        <v>98703</v>
      </c>
      <c r="M78" s="2">
        <f t="shared" si="67"/>
        <v>98289</v>
      </c>
      <c r="N78" s="2">
        <f t="shared" si="67"/>
        <v>76297</v>
      </c>
      <c r="O78" s="2">
        <f t="shared" si="67"/>
        <v>75655</v>
      </c>
      <c r="P78" s="2">
        <f t="shared" si="67"/>
        <v>75012</v>
      </c>
      <c r="Q78" s="2">
        <f t="shared" si="67"/>
        <v>76367</v>
      </c>
      <c r="R78" s="2">
        <f t="shared" si="67"/>
        <v>76042</v>
      </c>
      <c r="S78" s="2">
        <f t="shared" si="67"/>
        <v>75714</v>
      </c>
      <c r="T78" s="2">
        <f t="shared" si="67"/>
        <v>75388</v>
      </c>
      <c r="U78" s="2">
        <f t="shared" si="67"/>
        <v>75040</v>
      </c>
      <c r="V78" s="2">
        <f t="shared" ref="V78:AC78" si="68">+V26</f>
        <v>74694</v>
      </c>
      <c r="W78" s="2">
        <f t="shared" si="68"/>
        <v>74327</v>
      </c>
      <c r="X78" s="2">
        <f t="shared" si="68"/>
        <v>75941</v>
      </c>
      <c r="Y78" s="2">
        <f t="shared" si="68"/>
        <v>39660</v>
      </c>
      <c r="Z78" s="2">
        <f t="shared" si="68"/>
        <v>39280</v>
      </c>
      <c r="AA78" s="2">
        <f t="shared" si="68"/>
        <v>38881</v>
      </c>
      <c r="AB78" s="2">
        <f t="shared" si="68"/>
        <v>38480</v>
      </c>
      <c r="AC78" s="2">
        <f t="shared" si="68"/>
        <v>40061</v>
      </c>
      <c r="AD78" s="2">
        <f t="shared" ref="AD78:AJ78" si="69">+AD26</f>
        <v>39588</v>
      </c>
      <c r="AE78" s="2">
        <f t="shared" si="69"/>
        <v>39115</v>
      </c>
      <c r="AF78" s="2">
        <f t="shared" si="69"/>
        <v>19420</v>
      </c>
      <c r="AG78" s="2">
        <f t="shared" si="69"/>
        <v>20621</v>
      </c>
      <c r="AH78" s="2">
        <f t="shared" si="69"/>
        <v>20497</v>
      </c>
      <c r="AI78" s="2">
        <f t="shared" si="69"/>
        <v>0</v>
      </c>
      <c r="AJ78" s="2">
        <f t="shared" si="69"/>
        <v>0</v>
      </c>
    </row>
    <row r="79" spans="1:36" ht="15" x14ac:dyDescent="0.4">
      <c r="B79" t="s">
        <v>903</v>
      </c>
      <c r="C79" s="366">
        <f>+C51</f>
        <v>154950</v>
      </c>
      <c r="D79" s="366">
        <f t="shared" ref="D79:U79" si="70">+D51</f>
        <v>155301</v>
      </c>
      <c r="E79" s="366">
        <f t="shared" si="70"/>
        <v>154771</v>
      </c>
      <c r="F79" s="366">
        <f t="shared" si="70"/>
        <v>154675</v>
      </c>
      <c r="G79" s="366">
        <f t="shared" si="70"/>
        <v>149757</v>
      </c>
      <c r="H79" s="366">
        <f t="shared" si="70"/>
        <v>148178</v>
      </c>
      <c r="I79" s="366">
        <f t="shared" si="70"/>
        <v>147475</v>
      </c>
      <c r="J79" s="366">
        <f t="shared" si="70"/>
        <v>149770</v>
      </c>
      <c r="K79" s="366">
        <f t="shared" si="70"/>
        <v>148854</v>
      </c>
      <c r="L79" s="366">
        <f t="shared" si="70"/>
        <v>148053</v>
      </c>
      <c r="M79" s="366">
        <f t="shared" si="70"/>
        <v>147432</v>
      </c>
      <c r="N79" s="366">
        <f t="shared" si="70"/>
        <v>114444.12</v>
      </c>
      <c r="O79" s="366">
        <f t="shared" si="70"/>
        <v>113481</v>
      </c>
      <c r="P79" s="366">
        <f t="shared" si="70"/>
        <v>112516</v>
      </c>
      <c r="Q79" s="366">
        <f t="shared" si="70"/>
        <v>114550</v>
      </c>
      <c r="R79" s="366">
        <f t="shared" si="70"/>
        <v>114062</v>
      </c>
      <c r="S79" s="366">
        <f t="shared" si="70"/>
        <v>113573</v>
      </c>
      <c r="T79" s="366">
        <f t="shared" si="70"/>
        <v>113080</v>
      </c>
      <c r="U79" s="366">
        <f t="shared" si="70"/>
        <v>112562</v>
      </c>
      <c r="V79" s="366">
        <f t="shared" ref="V79:AC79" si="71">+V51</f>
        <v>112039</v>
      </c>
      <c r="W79" s="366">
        <f t="shared" si="71"/>
        <v>111490</v>
      </c>
      <c r="X79" s="366">
        <f t="shared" si="71"/>
        <v>113913</v>
      </c>
      <c r="Y79" s="366">
        <f t="shared" si="71"/>
        <v>59491</v>
      </c>
      <c r="Z79" s="366">
        <f t="shared" si="71"/>
        <v>58921</v>
      </c>
      <c r="AA79" s="366">
        <f t="shared" si="71"/>
        <v>58320</v>
      </c>
      <c r="AB79" s="366">
        <f t="shared" si="71"/>
        <v>57721</v>
      </c>
      <c r="AC79" s="366">
        <f t="shared" si="71"/>
        <v>60090</v>
      </c>
      <c r="AD79" s="366">
        <f t="shared" ref="AD79:AJ79" si="72">+AD51</f>
        <v>59382</v>
      </c>
      <c r="AE79" s="366">
        <f t="shared" si="72"/>
        <v>58674</v>
      </c>
      <c r="AF79" s="366">
        <f t="shared" si="72"/>
        <v>29131</v>
      </c>
      <c r="AG79" s="366">
        <f t="shared" si="72"/>
        <v>30930</v>
      </c>
      <c r="AH79" s="366">
        <f t="shared" si="72"/>
        <v>30746</v>
      </c>
      <c r="AI79" s="366">
        <f t="shared" si="72"/>
        <v>0</v>
      </c>
      <c r="AJ79" s="366">
        <f t="shared" si="72"/>
        <v>0</v>
      </c>
    </row>
    <row r="80" spans="1:36" x14ac:dyDescent="0.25">
      <c r="B80" t="s">
        <v>180</v>
      </c>
      <c r="C80" s="2">
        <f>SUM(C78:C79)</f>
        <v>258251</v>
      </c>
      <c r="D80" s="2">
        <f t="shared" ref="D80:U80" si="73">SUM(D78:D79)</f>
        <v>258835</v>
      </c>
      <c r="E80" s="2">
        <f t="shared" si="73"/>
        <v>257952</v>
      </c>
      <c r="F80" s="2">
        <f t="shared" si="73"/>
        <v>257792</v>
      </c>
      <c r="G80" s="2">
        <f t="shared" si="73"/>
        <v>249594</v>
      </c>
      <c r="H80" s="2">
        <f t="shared" si="73"/>
        <v>246962</v>
      </c>
      <c r="I80" s="2">
        <f t="shared" si="73"/>
        <v>245792</v>
      </c>
      <c r="J80" s="2">
        <f t="shared" si="73"/>
        <v>249616</v>
      </c>
      <c r="K80" s="2">
        <f t="shared" si="73"/>
        <v>248088</v>
      </c>
      <c r="L80" s="2">
        <f t="shared" si="73"/>
        <v>246756</v>
      </c>
      <c r="M80" s="2">
        <f t="shared" si="73"/>
        <v>245721</v>
      </c>
      <c r="N80" s="2">
        <f t="shared" si="73"/>
        <v>190741.12</v>
      </c>
      <c r="O80" s="2">
        <f t="shared" si="73"/>
        <v>189136</v>
      </c>
      <c r="P80" s="2">
        <f t="shared" si="73"/>
        <v>187528</v>
      </c>
      <c r="Q80" s="2">
        <f t="shared" si="73"/>
        <v>190917</v>
      </c>
      <c r="R80" s="2">
        <f t="shared" si="73"/>
        <v>190104</v>
      </c>
      <c r="S80" s="2">
        <f t="shared" si="73"/>
        <v>189287</v>
      </c>
      <c r="T80" s="2">
        <f t="shared" si="73"/>
        <v>188468</v>
      </c>
      <c r="U80" s="2">
        <f t="shared" si="73"/>
        <v>187602</v>
      </c>
      <c r="V80" s="2">
        <f t="shared" ref="V80:AJ80" si="74">SUM(V78:V79)</f>
        <v>186733</v>
      </c>
      <c r="W80" s="2">
        <f t="shared" si="74"/>
        <v>185817</v>
      </c>
      <c r="X80" s="2">
        <f t="shared" si="74"/>
        <v>189854</v>
      </c>
      <c r="Y80" s="2">
        <f t="shared" si="74"/>
        <v>99151</v>
      </c>
      <c r="Z80" s="2">
        <f t="shared" si="74"/>
        <v>98201</v>
      </c>
      <c r="AA80" s="2">
        <f t="shared" si="74"/>
        <v>97201</v>
      </c>
      <c r="AB80" s="2">
        <f t="shared" si="74"/>
        <v>96201</v>
      </c>
      <c r="AC80" s="2">
        <f t="shared" si="74"/>
        <v>100151</v>
      </c>
      <c r="AD80" s="2">
        <f t="shared" si="74"/>
        <v>98970</v>
      </c>
      <c r="AE80" s="2">
        <f t="shared" si="74"/>
        <v>97789</v>
      </c>
      <c r="AF80" s="2">
        <f t="shared" si="74"/>
        <v>48551</v>
      </c>
      <c r="AG80" s="2">
        <f t="shared" si="74"/>
        <v>51551</v>
      </c>
      <c r="AH80" s="2">
        <f t="shared" si="74"/>
        <v>51243</v>
      </c>
      <c r="AI80" s="2">
        <f t="shared" si="74"/>
        <v>0</v>
      </c>
      <c r="AJ80" s="2">
        <f t="shared" si="74"/>
        <v>0</v>
      </c>
    </row>
    <row r="82" spans="2:36" x14ac:dyDescent="0.25">
      <c r="B82" s="240" t="s">
        <v>904</v>
      </c>
      <c r="C82" s="2">
        <f>+C80-C76</f>
        <v>0</v>
      </c>
      <c r="D82" s="2">
        <f t="shared" ref="D82:U82" si="75">+D80-D76</f>
        <v>0</v>
      </c>
      <c r="E82" s="2">
        <f t="shared" si="75"/>
        <v>0</v>
      </c>
      <c r="F82" s="2">
        <f t="shared" si="75"/>
        <v>0</v>
      </c>
      <c r="G82" s="2">
        <f t="shared" si="75"/>
        <v>0</v>
      </c>
      <c r="H82" s="2">
        <f t="shared" si="75"/>
        <v>0</v>
      </c>
      <c r="I82" s="2">
        <f t="shared" si="75"/>
        <v>0</v>
      </c>
      <c r="J82" s="2">
        <f t="shared" si="75"/>
        <v>0</v>
      </c>
      <c r="K82" s="2">
        <f t="shared" si="75"/>
        <v>0</v>
      </c>
      <c r="L82" s="2">
        <f t="shared" si="75"/>
        <v>0</v>
      </c>
      <c r="M82" s="2">
        <f t="shared" si="75"/>
        <v>0</v>
      </c>
      <c r="N82" s="2">
        <f t="shared" si="75"/>
        <v>0</v>
      </c>
      <c r="O82" s="2">
        <f t="shared" si="75"/>
        <v>0</v>
      </c>
      <c r="P82" s="2">
        <f t="shared" si="75"/>
        <v>0</v>
      </c>
      <c r="Q82" s="2">
        <f t="shared" si="75"/>
        <v>0</v>
      </c>
      <c r="R82" s="2">
        <f t="shared" si="75"/>
        <v>0</v>
      </c>
      <c r="S82" s="2">
        <f t="shared" si="75"/>
        <v>0</v>
      </c>
      <c r="T82" s="2">
        <f t="shared" si="75"/>
        <v>0</v>
      </c>
      <c r="U82" s="2">
        <f t="shared" si="75"/>
        <v>0</v>
      </c>
      <c r="V82" s="2">
        <f t="shared" ref="V82:AC82" si="76">+V80-V76</f>
        <v>0</v>
      </c>
      <c r="W82" s="2">
        <f t="shared" si="76"/>
        <v>0</v>
      </c>
      <c r="X82" s="2">
        <f t="shared" si="76"/>
        <v>0</v>
      </c>
      <c r="Y82" s="2">
        <f t="shared" si="76"/>
        <v>0</v>
      </c>
      <c r="Z82" s="2">
        <f t="shared" si="76"/>
        <v>0</v>
      </c>
      <c r="AA82" s="2">
        <f t="shared" si="76"/>
        <v>0</v>
      </c>
      <c r="AB82" s="2">
        <f t="shared" si="76"/>
        <v>0</v>
      </c>
      <c r="AC82" s="2">
        <f t="shared" si="76"/>
        <v>0</v>
      </c>
      <c r="AD82" s="2">
        <f t="shared" ref="AD82:AJ82" si="77">+AD80-AD76</f>
        <v>0</v>
      </c>
      <c r="AE82" s="2">
        <f t="shared" si="77"/>
        <v>0</v>
      </c>
      <c r="AF82" s="2">
        <f t="shared" si="77"/>
        <v>0</v>
      </c>
      <c r="AG82" s="2">
        <f t="shared" si="77"/>
        <v>0</v>
      </c>
      <c r="AH82" s="2">
        <f t="shared" si="77"/>
        <v>0</v>
      </c>
      <c r="AI82" s="2">
        <f t="shared" si="77"/>
        <v>0</v>
      </c>
      <c r="AJ82" s="2">
        <f t="shared" si="77"/>
        <v>0</v>
      </c>
    </row>
  </sheetData>
  <hyperlinks>
    <hyperlink ref="A1" location="'Table of Contents'!A1" display="TOC" xr:uid="{00000000-0004-0000-4400-000000000000}"/>
  </hyperlinks>
  <pageMargins left="0.7" right="0.7" top="0.75" bottom="0.75" header="0.3" footer="0.3"/>
  <pageSetup orientation="portrait" r:id="rId1"/>
  <headerFooter>
    <oddFooter>&amp;L&amp;D &amp;T&amp;C&amp;F&amp;R&amp;A &amp;P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rgb="FF92D050"/>
  </sheetPr>
  <dimension ref="A1:AI210"/>
  <sheetViews>
    <sheetView workbookViewId="0"/>
  </sheetViews>
  <sheetFormatPr defaultRowHeight="13.2" x14ac:dyDescent="0.25"/>
  <cols>
    <col min="2" max="2" width="39.33203125" customWidth="1"/>
    <col min="3" max="3" width="12" hidden="1" customWidth="1"/>
    <col min="4" max="13" width="12" customWidth="1"/>
    <col min="14" max="30" width="10.6640625" customWidth="1"/>
    <col min="31" max="32" width="10.109375" customWidth="1"/>
  </cols>
  <sheetData>
    <row r="1" spans="1:35" x14ac:dyDescent="0.25">
      <c r="A1" s="371" t="s">
        <v>1348</v>
      </c>
      <c r="B1" s="83"/>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row>
    <row r="2" spans="1:35" x14ac:dyDescent="0.25">
      <c r="A2" s="83"/>
      <c r="B2" s="83"/>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row>
    <row r="3" spans="1:35" ht="13.8" thickBot="1" x14ac:dyDescent="0.3">
      <c r="B3" s="8" t="s">
        <v>128</v>
      </c>
      <c r="C3" s="9" t="s">
        <v>905</v>
      </c>
      <c r="D3" s="9" t="s">
        <v>906</v>
      </c>
      <c r="E3" s="9" t="s">
        <v>907</v>
      </c>
      <c r="F3" s="9" t="s">
        <v>908</v>
      </c>
      <c r="G3" s="9" t="s">
        <v>909</v>
      </c>
      <c r="H3" s="9" t="s">
        <v>910</v>
      </c>
      <c r="I3" s="9" t="s">
        <v>911</v>
      </c>
      <c r="J3" s="9" t="s">
        <v>912</v>
      </c>
      <c r="K3" s="9" t="s">
        <v>913</v>
      </c>
      <c r="L3" s="9" t="s">
        <v>914</v>
      </c>
      <c r="M3" s="9" t="s">
        <v>915</v>
      </c>
      <c r="N3" s="9" t="s">
        <v>916</v>
      </c>
      <c r="O3" s="9" t="s">
        <v>917</v>
      </c>
      <c r="P3" s="9" t="s">
        <v>918</v>
      </c>
      <c r="Q3" s="9" t="s">
        <v>919</v>
      </c>
      <c r="R3" s="9" t="s">
        <v>920</v>
      </c>
      <c r="S3" s="9" t="s">
        <v>921</v>
      </c>
      <c r="T3" s="9" t="s">
        <v>922</v>
      </c>
      <c r="U3" s="9" t="s">
        <v>923</v>
      </c>
      <c r="V3" s="9" t="s">
        <v>924</v>
      </c>
      <c r="W3" s="9" t="s">
        <v>925</v>
      </c>
      <c r="X3" s="9" t="s">
        <v>926</v>
      </c>
      <c r="Y3" s="9" t="s">
        <v>927</v>
      </c>
      <c r="Z3" s="9" t="s">
        <v>928</v>
      </c>
      <c r="AA3" s="9" t="s">
        <v>929</v>
      </c>
      <c r="AB3" s="9" t="s">
        <v>930</v>
      </c>
      <c r="AC3" s="9" t="s">
        <v>931</v>
      </c>
      <c r="AD3" s="9" t="s">
        <v>932</v>
      </c>
      <c r="AE3" s="9" t="s">
        <v>933</v>
      </c>
      <c r="AF3" s="9" t="s">
        <v>934</v>
      </c>
      <c r="AG3" s="9" t="s">
        <v>935</v>
      </c>
      <c r="AH3" s="9" t="s">
        <v>936</v>
      </c>
      <c r="AI3" s="9" t="s">
        <v>937</v>
      </c>
    </row>
    <row r="4" spans="1:35" ht="13.8" thickTop="1" x14ac:dyDescent="0.25">
      <c r="B4" s="86" t="s">
        <v>1129</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row>
    <row r="5" spans="1:35" x14ac:dyDescent="0.25">
      <c r="A5" s="28"/>
      <c r="B5" s="2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row>
    <row r="6" spans="1:35" x14ac:dyDescent="0.25">
      <c r="A6" s="11">
        <v>5910</v>
      </c>
      <c r="B6" s="12" t="s">
        <v>227</v>
      </c>
      <c r="C6" s="19"/>
      <c r="D6" s="19">
        <f t="shared" ref="D6:AI6" si="0">+D50+D69</f>
        <v>37940</v>
      </c>
      <c r="E6" s="19">
        <f t="shared" si="0"/>
        <v>35980</v>
      </c>
      <c r="F6" s="19">
        <f t="shared" si="0"/>
        <v>0</v>
      </c>
      <c r="G6" s="19">
        <f t="shared" si="0"/>
        <v>0</v>
      </c>
      <c r="H6" s="19">
        <f t="shared" si="0"/>
        <v>0</v>
      </c>
      <c r="I6" s="19">
        <f t="shared" si="0"/>
        <v>0</v>
      </c>
      <c r="J6" s="19">
        <f t="shared" si="0"/>
        <v>0</v>
      </c>
      <c r="K6" s="19">
        <f t="shared" si="0"/>
        <v>0</v>
      </c>
      <c r="L6" s="19">
        <f t="shared" si="0"/>
        <v>0</v>
      </c>
      <c r="M6" s="19">
        <f t="shared" si="0"/>
        <v>0</v>
      </c>
      <c r="N6" s="19">
        <f t="shared" si="0"/>
        <v>0</v>
      </c>
      <c r="O6" s="19">
        <f t="shared" si="0"/>
        <v>0</v>
      </c>
      <c r="P6" s="19">
        <f t="shared" si="0"/>
        <v>0</v>
      </c>
      <c r="Q6" s="19">
        <f t="shared" si="0"/>
        <v>0</v>
      </c>
      <c r="R6" s="19">
        <f t="shared" si="0"/>
        <v>0</v>
      </c>
      <c r="S6" s="19">
        <f t="shared" si="0"/>
        <v>0</v>
      </c>
      <c r="T6" s="19">
        <f t="shared" si="0"/>
        <v>0</v>
      </c>
      <c r="U6" s="19">
        <f t="shared" si="0"/>
        <v>0</v>
      </c>
      <c r="V6" s="19">
        <f t="shared" si="0"/>
        <v>0</v>
      </c>
      <c r="W6" s="19">
        <f t="shared" si="0"/>
        <v>0</v>
      </c>
      <c r="X6" s="19">
        <f t="shared" si="0"/>
        <v>0</v>
      </c>
      <c r="Y6" s="19">
        <f t="shared" si="0"/>
        <v>0</v>
      </c>
      <c r="Z6" s="19">
        <f t="shared" si="0"/>
        <v>0</v>
      </c>
      <c r="AA6" s="19">
        <f t="shared" si="0"/>
        <v>0</v>
      </c>
      <c r="AB6" s="19">
        <f t="shared" si="0"/>
        <v>0</v>
      </c>
      <c r="AC6" s="19">
        <f t="shared" si="0"/>
        <v>0</v>
      </c>
      <c r="AD6" s="19">
        <f t="shared" si="0"/>
        <v>0</v>
      </c>
      <c r="AE6" s="19">
        <f t="shared" si="0"/>
        <v>0</v>
      </c>
      <c r="AF6" s="19">
        <f t="shared" si="0"/>
        <v>0</v>
      </c>
      <c r="AG6" s="19">
        <f t="shared" si="0"/>
        <v>0</v>
      </c>
      <c r="AH6" s="19">
        <f t="shared" si="0"/>
        <v>0</v>
      </c>
      <c r="AI6" s="19">
        <f t="shared" si="0"/>
        <v>0</v>
      </c>
    </row>
    <row r="7" spans="1:35" x14ac:dyDescent="0.25">
      <c r="A7" s="11">
        <v>5916</v>
      </c>
      <c r="B7" s="12" t="s">
        <v>394</v>
      </c>
      <c r="C7" s="19"/>
      <c r="D7" s="19">
        <f t="shared" ref="D7:AI7" si="1">+D51+D70</f>
        <v>25400</v>
      </c>
      <c r="E7" s="19">
        <f t="shared" si="1"/>
        <v>24600</v>
      </c>
      <c r="F7" s="19">
        <f t="shared" si="1"/>
        <v>18900</v>
      </c>
      <c r="G7" s="19">
        <f t="shared" si="1"/>
        <v>18300</v>
      </c>
      <c r="H7" s="19">
        <f t="shared" si="1"/>
        <v>17700</v>
      </c>
      <c r="I7" s="19">
        <f t="shared" si="1"/>
        <v>17100</v>
      </c>
      <c r="J7" s="19">
        <f t="shared" si="1"/>
        <v>16500</v>
      </c>
      <c r="K7" s="19">
        <f t="shared" si="1"/>
        <v>15900</v>
      </c>
      <c r="L7" s="19">
        <f t="shared" si="1"/>
        <v>15300</v>
      </c>
      <c r="M7" s="19">
        <f t="shared" si="1"/>
        <v>0</v>
      </c>
      <c r="N7" s="19">
        <f t="shared" si="1"/>
        <v>0</v>
      </c>
      <c r="O7" s="19">
        <f t="shared" si="1"/>
        <v>0</v>
      </c>
      <c r="P7" s="19">
        <f t="shared" si="1"/>
        <v>0</v>
      </c>
      <c r="Q7" s="19">
        <f t="shared" si="1"/>
        <v>0</v>
      </c>
      <c r="R7" s="19">
        <f t="shared" si="1"/>
        <v>0</v>
      </c>
      <c r="S7" s="19">
        <f t="shared" si="1"/>
        <v>0</v>
      </c>
      <c r="T7" s="19">
        <f t="shared" si="1"/>
        <v>0</v>
      </c>
      <c r="U7" s="19">
        <f t="shared" si="1"/>
        <v>0</v>
      </c>
      <c r="V7" s="19">
        <f t="shared" si="1"/>
        <v>0</v>
      </c>
      <c r="W7" s="19">
        <f t="shared" si="1"/>
        <v>0</v>
      </c>
      <c r="X7" s="19">
        <f t="shared" si="1"/>
        <v>0</v>
      </c>
      <c r="Y7" s="19">
        <f t="shared" si="1"/>
        <v>0</v>
      </c>
      <c r="Z7" s="19">
        <f t="shared" si="1"/>
        <v>0</v>
      </c>
      <c r="AA7" s="19">
        <f t="shared" si="1"/>
        <v>0</v>
      </c>
      <c r="AB7" s="19">
        <f t="shared" si="1"/>
        <v>0</v>
      </c>
      <c r="AC7" s="19">
        <f t="shared" si="1"/>
        <v>0</v>
      </c>
      <c r="AD7" s="19">
        <f t="shared" si="1"/>
        <v>0</v>
      </c>
      <c r="AE7" s="19">
        <f t="shared" si="1"/>
        <v>0</v>
      </c>
      <c r="AF7" s="19">
        <f t="shared" si="1"/>
        <v>0</v>
      </c>
      <c r="AG7" s="19">
        <f t="shared" si="1"/>
        <v>0</v>
      </c>
      <c r="AH7" s="19">
        <f t="shared" si="1"/>
        <v>0</v>
      </c>
      <c r="AI7" s="19">
        <f t="shared" si="1"/>
        <v>0</v>
      </c>
    </row>
    <row r="8" spans="1:35" x14ac:dyDescent="0.25">
      <c r="A8" s="11">
        <v>5920</v>
      </c>
      <c r="B8" s="12" t="s">
        <v>941</v>
      </c>
      <c r="C8" s="19"/>
      <c r="D8" s="19">
        <f t="shared" ref="D8:AI8" si="2">+D52+D71</f>
        <v>395800</v>
      </c>
      <c r="E8" s="19">
        <f t="shared" si="2"/>
        <v>395000</v>
      </c>
      <c r="F8" s="19">
        <f t="shared" si="2"/>
        <v>398700</v>
      </c>
      <c r="G8" s="19">
        <f t="shared" si="2"/>
        <v>396900</v>
      </c>
      <c r="H8" s="19">
        <f t="shared" si="2"/>
        <v>399600</v>
      </c>
      <c r="I8" s="19">
        <f t="shared" si="2"/>
        <v>401700</v>
      </c>
      <c r="J8" s="19">
        <f t="shared" si="2"/>
        <v>403200</v>
      </c>
      <c r="K8" s="19">
        <f t="shared" si="2"/>
        <v>403200</v>
      </c>
      <c r="L8" s="19">
        <f t="shared" si="2"/>
        <v>401663</v>
      </c>
      <c r="M8" s="19">
        <f t="shared" si="2"/>
        <v>414113</v>
      </c>
      <c r="N8" s="19">
        <f t="shared" si="2"/>
        <v>0</v>
      </c>
      <c r="O8" s="19">
        <f t="shared" si="2"/>
        <v>0</v>
      </c>
      <c r="P8" s="19">
        <f t="shared" si="2"/>
        <v>0</v>
      </c>
      <c r="Q8" s="19">
        <f t="shared" si="2"/>
        <v>0</v>
      </c>
      <c r="R8" s="19">
        <f t="shared" si="2"/>
        <v>0</v>
      </c>
      <c r="S8" s="19">
        <f t="shared" si="2"/>
        <v>0</v>
      </c>
      <c r="T8" s="19">
        <f t="shared" si="2"/>
        <v>0</v>
      </c>
      <c r="U8" s="19">
        <f t="shared" si="2"/>
        <v>0</v>
      </c>
      <c r="V8" s="19">
        <f t="shared" si="2"/>
        <v>0</v>
      </c>
      <c r="W8" s="19">
        <f t="shared" si="2"/>
        <v>0</v>
      </c>
      <c r="X8" s="19">
        <f t="shared" si="2"/>
        <v>0</v>
      </c>
      <c r="Y8" s="19">
        <f t="shared" si="2"/>
        <v>0</v>
      </c>
      <c r="Z8" s="19">
        <f t="shared" si="2"/>
        <v>0</v>
      </c>
      <c r="AA8" s="19">
        <f t="shared" si="2"/>
        <v>0</v>
      </c>
      <c r="AB8" s="19">
        <f t="shared" si="2"/>
        <v>0</v>
      </c>
      <c r="AC8" s="19">
        <f t="shared" si="2"/>
        <v>0</v>
      </c>
      <c r="AD8" s="19">
        <f t="shared" si="2"/>
        <v>0</v>
      </c>
      <c r="AE8" s="19">
        <f t="shared" si="2"/>
        <v>0</v>
      </c>
      <c r="AF8" s="19">
        <f t="shared" si="2"/>
        <v>0</v>
      </c>
      <c r="AG8" s="19">
        <f t="shared" si="2"/>
        <v>0</v>
      </c>
      <c r="AH8" s="19">
        <f t="shared" si="2"/>
        <v>0</v>
      </c>
      <c r="AI8" s="19">
        <f t="shared" si="2"/>
        <v>0</v>
      </c>
    </row>
    <row r="9" spans="1:35" x14ac:dyDescent="0.25">
      <c r="A9" s="11">
        <v>5930</v>
      </c>
      <c r="B9" s="110" t="s">
        <v>36</v>
      </c>
      <c r="C9" s="19"/>
      <c r="D9" s="19">
        <f>+D151+D157+D158</f>
        <v>23546</v>
      </c>
      <c r="E9" s="19">
        <f t="shared" ref="E9:AI9" si="3">+E151+E157+E158</f>
        <v>23516</v>
      </c>
      <c r="F9" s="19">
        <f t="shared" si="3"/>
        <v>23809</v>
      </c>
      <c r="G9" s="19">
        <f t="shared" si="3"/>
        <v>23455</v>
      </c>
      <c r="H9" s="19">
        <f t="shared" si="3"/>
        <v>23422</v>
      </c>
      <c r="I9" s="19">
        <f t="shared" si="3"/>
        <v>23390</v>
      </c>
      <c r="J9" s="19">
        <f t="shared" si="3"/>
        <v>23357</v>
      </c>
      <c r="K9" s="19">
        <f t="shared" si="3"/>
        <v>23325</v>
      </c>
      <c r="L9" s="19">
        <f t="shared" si="3"/>
        <v>23451</v>
      </c>
      <c r="M9" s="19">
        <f t="shared" si="3"/>
        <v>0</v>
      </c>
      <c r="N9" s="19">
        <f t="shared" si="3"/>
        <v>0</v>
      </c>
      <c r="O9" s="19">
        <f t="shared" si="3"/>
        <v>0</v>
      </c>
      <c r="P9" s="19">
        <f t="shared" si="3"/>
        <v>0</v>
      </c>
      <c r="Q9" s="19">
        <f t="shared" si="3"/>
        <v>0</v>
      </c>
      <c r="R9" s="19">
        <f t="shared" si="3"/>
        <v>0</v>
      </c>
      <c r="S9" s="19">
        <f t="shared" si="3"/>
        <v>0</v>
      </c>
      <c r="T9" s="19">
        <f t="shared" si="3"/>
        <v>0</v>
      </c>
      <c r="U9" s="19">
        <f t="shared" si="3"/>
        <v>0</v>
      </c>
      <c r="V9" s="19">
        <f t="shared" si="3"/>
        <v>0</v>
      </c>
      <c r="W9" s="19">
        <f t="shared" si="3"/>
        <v>0</v>
      </c>
      <c r="X9" s="19">
        <f t="shared" si="3"/>
        <v>0</v>
      </c>
      <c r="Y9" s="19">
        <f t="shared" si="3"/>
        <v>0</v>
      </c>
      <c r="Z9" s="19">
        <f t="shared" si="3"/>
        <v>0</v>
      </c>
      <c r="AA9" s="19">
        <f t="shared" si="3"/>
        <v>0</v>
      </c>
      <c r="AB9" s="19">
        <f t="shared" si="3"/>
        <v>0</v>
      </c>
      <c r="AC9" s="19">
        <f t="shared" si="3"/>
        <v>0</v>
      </c>
      <c r="AD9" s="19">
        <f t="shared" si="3"/>
        <v>0</v>
      </c>
      <c r="AE9" s="19">
        <f t="shared" si="3"/>
        <v>0</v>
      </c>
      <c r="AF9" s="19">
        <f t="shared" si="3"/>
        <v>0</v>
      </c>
      <c r="AG9" s="19">
        <f t="shared" si="3"/>
        <v>0</v>
      </c>
      <c r="AH9" s="19">
        <f t="shared" si="3"/>
        <v>0</v>
      </c>
      <c r="AI9" s="19">
        <f t="shared" si="3"/>
        <v>0</v>
      </c>
    </row>
    <row r="10" spans="1:35" x14ac:dyDescent="0.25">
      <c r="A10" s="11">
        <v>5931</v>
      </c>
      <c r="B10" s="63" t="s">
        <v>37</v>
      </c>
      <c r="C10" s="19"/>
      <c r="D10" s="19">
        <f>+D152+D159+D160</f>
        <v>36711</v>
      </c>
      <c r="E10" s="19">
        <f t="shared" ref="E10:AI10" si="4">+E152+E159+E160</f>
        <v>36678</v>
      </c>
      <c r="F10" s="19">
        <f t="shared" si="4"/>
        <v>36642</v>
      </c>
      <c r="G10" s="19">
        <f t="shared" si="4"/>
        <v>36606</v>
      </c>
      <c r="H10" s="19">
        <f t="shared" si="4"/>
        <v>36571</v>
      </c>
      <c r="I10" s="19">
        <f t="shared" si="4"/>
        <v>36533</v>
      </c>
      <c r="J10" s="19">
        <f t="shared" si="4"/>
        <v>36454</v>
      </c>
      <c r="K10" s="19">
        <f t="shared" si="4"/>
        <v>36455</v>
      </c>
      <c r="L10" s="19">
        <f t="shared" si="4"/>
        <v>36415</v>
      </c>
      <c r="M10" s="19">
        <f t="shared" si="4"/>
        <v>36374</v>
      </c>
      <c r="N10" s="19">
        <f t="shared" si="4"/>
        <v>36331</v>
      </c>
      <c r="O10" s="19">
        <f t="shared" si="4"/>
        <v>36288</v>
      </c>
      <c r="P10" s="19">
        <f t="shared" si="4"/>
        <v>36243</v>
      </c>
      <c r="Q10" s="19">
        <f t="shared" si="4"/>
        <v>36199</v>
      </c>
      <c r="R10" s="19">
        <f t="shared" si="4"/>
        <v>36151</v>
      </c>
      <c r="S10" s="19">
        <f t="shared" si="4"/>
        <v>36105</v>
      </c>
      <c r="T10" s="19">
        <f t="shared" si="4"/>
        <v>36055</v>
      </c>
      <c r="U10" s="19">
        <f t="shared" si="4"/>
        <v>36006</v>
      </c>
      <c r="V10" s="19">
        <f t="shared" si="4"/>
        <v>35954</v>
      </c>
      <c r="W10" s="19">
        <f t="shared" si="4"/>
        <v>35901</v>
      </c>
      <c r="X10" s="19">
        <f t="shared" si="4"/>
        <v>0</v>
      </c>
      <c r="Y10" s="19">
        <f t="shared" si="4"/>
        <v>0</v>
      </c>
      <c r="Z10" s="19">
        <f t="shared" si="4"/>
        <v>0</v>
      </c>
      <c r="AA10" s="19">
        <f t="shared" si="4"/>
        <v>0</v>
      </c>
      <c r="AB10" s="19">
        <f t="shared" si="4"/>
        <v>0</v>
      </c>
      <c r="AC10" s="19">
        <f t="shared" si="4"/>
        <v>0</v>
      </c>
      <c r="AD10" s="19">
        <f t="shared" si="4"/>
        <v>0</v>
      </c>
      <c r="AE10" s="19">
        <f t="shared" si="4"/>
        <v>0</v>
      </c>
      <c r="AF10" s="19">
        <f t="shared" si="4"/>
        <v>0</v>
      </c>
      <c r="AG10" s="19">
        <f t="shared" si="4"/>
        <v>0</v>
      </c>
      <c r="AH10" s="19">
        <f t="shared" si="4"/>
        <v>0</v>
      </c>
      <c r="AI10" s="19">
        <f t="shared" si="4"/>
        <v>0</v>
      </c>
    </row>
    <row r="11" spans="1:35" x14ac:dyDescent="0.25">
      <c r="A11" s="11">
        <v>5932</v>
      </c>
      <c r="B11" s="63" t="s">
        <v>38</v>
      </c>
      <c r="C11" s="19"/>
      <c r="D11" s="19">
        <f>+D153+D161</f>
        <v>22304</v>
      </c>
      <c r="E11" s="19">
        <f t="shared" ref="E11:AI11" si="5">+E153+E161</f>
        <v>22303</v>
      </c>
      <c r="F11" s="19">
        <f t="shared" si="5"/>
        <v>22303</v>
      </c>
      <c r="G11" s="19">
        <f t="shared" si="5"/>
        <v>22303</v>
      </c>
      <c r="H11" s="19">
        <f t="shared" si="5"/>
        <v>22303</v>
      </c>
      <c r="I11" s="19">
        <f t="shared" si="5"/>
        <v>22303</v>
      </c>
      <c r="J11" s="19">
        <f t="shared" si="5"/>
        <v>22304</v>
      </c>
      <c r="K11" s="19">
        <f t="shared" si="5"/>
        <v>22303</v>
      </c>
      <c r="L11" s="19">
        <f t="shared" si="5"/>
        <v>22303</v>
      </c>
      <c r="M11" s="19">
        <f t="shared" si="5"/>
        <v>22304</v>
      </c>
      <c r="N11" s="19">
        <f t="shared" si="5"/>
        <v>22303</v>
      </c>
      <c r="O11" s="19">
        <f t="shared" si="5"/>
        <v>22304</v>
      </c>
      <c r="P11" s="19">
        <f t="shared" si="5"/>
        <v>22303</v>
      </c>
      <c r="Q11" s="19">
        <f t="shared" si="5"/>
        <v>22303</v>
      </c>
      <c r="R11" s="19">
        <f t="shared" si="5"/>
        <v>22303</v>
      </c>
      <c r="S11" s="19">
        <f t="shared" si="5"/>
        <v>22303</v>
      </c>
      <c r="T11" s="19">
        <f t="shared" si="5"/>
        <v>22304</v>
      </c>
      <c r="U11" s="19">
        <f t="shared" si="5"/>
        <v>22303</v>
      </c>
      <c r="V11" s="19">
        <f t="shared" si="5"/>
        <v>22303</v>
      </c>
      <c r="W11" s="19">
        <f t="shared" si="5"/>
        <v>22303</v>
      </c>
      <c r="X11" s="19">
        <f t="shared" si="5"/>
        <v>22303</v>
      </c>
      <c r="Y11" s="19">
        <f t="shared" si="5"/>
        <v>22303</v>
      </c>
      <c r="Z11" s="19">
        <f t="shared" si="5"/>
        <v>22303</v>
      </c>
      <c r="AA11" s="19">
        <f t="shared" si="5"/>
        <v>22303</v>
      </c>
      <c r="AB11" s="19">
        <f t="shared" si="5"/>
        <v>22303</v>
      </c>
      <c r="AC11" s="19">
        <f t="shared" si="5"/>
        <v>22303</v>
      </c>
      <c r="AD11" s="19">
        <f t="shared" si="5"/>
        <v>22303</v>
      </c>
      <c r="AE11" s="19">
        <f t="shared" si="5"/>
        <v>22234</v>
      </c>
      <c r="AF11" s="19">
        <f t="shared" si="5"/>
        <v>0</v>
      </c>
      <c r="AG11" s="19">
        <f t="shared" si="5"/>
        <v>0</v>
      </c>
      <c r="AH11" s="19">
        <f t="shared" si="5"/>
        <v>0</v>
      </c>
      <c r="AI11" s="19">
        <f t="shared" si="5"/>
        <v>0</v>
      </c>
    </row>
    <row r="12" spans="1:35" x14ac:dyDescent="0.25">
      <c r="A12" s="11">
        <v>5933</v>
      </c>
      <c r="B12" s="63" t="s">
        <v>352</v>
      </c>
      <c r="C12" s="19"/>
      <c r="D12" s="19">
        <f>+D154+D162</f>
        <v>20620</v>
      </c>
      <c r="E12" s="19">
        <f t="shared" ref="E12:AI12" si="6">+E154+E162</f>
        <v>20620</v>
      </c>
      <c r="F12" s="19">
        <f t="shared" si="6"/>
        <v>20621</v>
      </c>
      <c r="G12" s="19">
        <f t="shared" si="6"/>
        <v>20620</v>
      </c>
      <c r="H12" s="19">
        <f t="shared" si="6"/>
        <v>20621</v>
      </c>
      <c r="I12" s="19">
        <f t="shared" si="6"/>
        <v>20620</v>
      </c>
      <c r="J12" s="19">
        <f t="shared" si="6"/>
        <v>20620</v>
      </c>
      <c r="K12" s="19">
        <f t="shared" si="6"/>
        <v>20620</v>
      </c>
      <c r="L12" s="19">
        <f t="shared" si="6"/>
        <v>20620</v>
      </c>
      <c r="M12" s="19">
        <f t="shared" si="6"/>
        <v>20621</v>
      </c>
      <c r="N12" s="19">
        <f t="shared" si="6"/>
        <v>20621</v>
      </c>
      <c r="O12" s="19">
        <f t="shared" si="6"/>
        <v>20621</v>
      </c>
      <c r="P12" s="19">
        <f t="shared" si="6"/>
        <v>20621</v>
      </c>
      <c r="Q12" s="19">
        <f t="shared" si="6"/>
        <v>20620</v>
      </c>
      <c r="R12" s="19">
        <f t="shared" si="6"/>
        <v>20620</v>
      </c>
      <c r="S12" s="19">
        <f t="shared" si="6"/>
        <v>20620</v>
      </c>
      <c r="T12" s="19">
        <f t="shared" si="6"/>
        <v>20620</v>
      </c>
      <c r="U12" s="19">
        <f t="shared" si="6"/>
        <v>20620</v>
      </c>
      <c r="V12" s="19">
        <f t="shared" si="6"/>
        <v>20620</v>
      </c>
      <c r="W12" s="19">
        <f t="shared" si="6"/>
        <v>20620</v>
      </c>
      <c r="X12" s="19">
        <f t="shared" si="6"/>
        <v>20620</v>
      </c>
      <c r="Y12" s="19">
        <f t="shared" si="6"/>
        <v>20620</v>
      </c>
      <c r="Z12" s="19">
        <f t="shared" si="6"/>
        <v>20621</v>
      </c>
      <c r="AA12" s="19">
        <f t="shared" si="6"/>
        <v>20620</v>
      </c>
      <c r="AB12" s="19">
        <f t="shared" si="6"/>
        <v>20621</v>
      </c>
      <c r="AC12" s="19">
        <f t="shared" si="6"/>
        <v>20620</v>
      </c>
      <c r="AD12" s="19">
        <f t="shared" si="6"/>
        <v>20620</v>
      </c>
      <c r="AE12" s="19">
        <f t="shared" si="6"/>
        <v>20620</v>
      </c>
      <c r="AF12" s="19">
        <f t="shared" si="6"/>
        <v>20621</v>
      </c>
      <c r="AG12" s="19">
        <f t="shared" si="6"/>
        <v>20497</v>
      </c>
      <c r="AH12" s="19">
        <f t="shared" si="6"/>
        <v>0</v>
      </c>
      <c r="AI12" s="19">
        <f t="shared" si="6"/>
        <v>0</v>
      </c>
    </row>
    <row r="13" spans="1:35" x14ac:dyDescent="0.25">
      <c r="A13" s="11">
        <v>5934</v>
      </c>
      <c r="B13" s="12" t="s">
        <v>683</v>
      </c>
      <c r="C13" s="19"/>
      <c r="D13" s="19">
        <f t="shared" ref="D13:AI13" si="7">+D57+D78</f>
        <v>6975</v>
      </c>
      <c r="E13" s="19">
        <f t="shared" si="7"/>
        <v>6775</v>
      </c>
      <c r="F13" s="19">
        <f t="shared" si="7"/>
        <v>6575</v>
      </c>
      <c r="G13" s="19">
        <f t="shared" si="7"/>
        <v>6375</v>
      </c>
      <c r="H13" s="19">
        <f t="shared" si="7"/>
        <v>6175</v>
      </c>
      <c r="I13" s="19">
        <f t="shared" si="7"/>
        <v>5975</v>
      </c>
      <c r="J13" s="19">
        <f t="shared" si="7"/>
        <v>5775</v>
      </c>
      <c r="K13" s="19">
        <f t="shared" si="7"/>
        <v>5563</v>
      </c>
      <c r="L13" s="19">
        <f t="shared" si="7"/>
        <v>5338</v>
      </c>
      <c r="M13" s="19">
        <f t="shared" si="7"/>
        <v>5113</v>
      </c>
      <c r="N13" s="19">
        <f t="shared" si="7"/>
        <v>0</v>
      </c>
      <c r="O13" s="19">
        <f t="shared" si="7"/>
        <v>0</v>
      </c>
      <c r="P13" s="19">
        <f t="shared" si="7"/>
        <v>0</v>
      </c>
      <c r="Q13" s="19">
        <f t="shared" si="7"/>
        <v>0</v>
      </c>
      <c r="R13" s="19">
        <f t="shared" si="7"/>
        <v>0</v>
      </c>
      <c r="S13" s="19">
        <f t="shared" si="7"/>
        <v>0</v>
      </c>
      <c r="T13" s="19">
        <f t="shared" si="7"/>
        <v>0</v>
      </c>
      <c r="U13" s="19">
        <f t="shared" si="7"/>
        <v>0</v>
      </c>
      <c r="V13" s="19">
        <f t="shared" si="7"/>
        <v>0</v>
      </c>
      <c r="W13" s="19">
        <f t="shared" si="7"/>
        <v>0</v>
      </c>
      <c r="X13" s="19">
        <f t="shared" si="7"/>
        <v>0</v>
      </c>
      <c r="Y13" s="19">
        <f t="shared" si="7"/>
        <v>0</v>
      </c>
      <c r="Z13" s="19">
        <f t="shared" si="7"/>
        <v>0</v>
      </c>
      <c r="AA13" s="19">
        <f t="shared" si="7"/>
        <v>0</v>
      </c>
      <c r="AB13" s="19">
        <f t="shared" si="7"/>
        <v>0</v>
      </c>
      <c r="AC13" s="19">
        <f t="shared" si="7"/>
        <v>0</v>
      </c>
      <c r="AD13" s="19">
        <f t="shared" si="7"/>
        <v>0</v>
      </c>
      <c r="AE13" s="19">
        <f t="shared" si="7"/>
        <v>0</v>
      </c>
      <c r="AF13" s="19">
        <f t="shared" si="7"/>
        <v>0</v>
      </c>
      <c r="AG13" s="19">
        <f t="shared" si="7"/>
        <v>0</v>
      </c>
      <c r="AH13" s="19">
        <f t="shared" si="7"/>
        <v>0</v>
      </c>
      <c r="AI13" s="19">
        <f t="shared" si="7"/>
        <v>0</v>
      </c>
    </row>
    <row r="14" spans="1:35" x14ac:dyDescent="0.25">
      <c r="A14" s="11">
        <v>5936</v>
      </c>
      <c r="B14" s="12" t="s">
        <v>732</v>
      </c>
      <c r="C14" s="19"/>
      <c r="D14" s="19">
        <f t="shared" ref="D14:AI14" si="8">+D58+D79</f>
        <v>8263</v>
      </c>
      <c r="E14" s="19">
        <f t="shared" si="8"/>
        <v>8263</v>
      </c>
      <c r="F14" s="19">
        <f t="shared" si="8"/>
        <v>8263</v>
      </c>
      <c r="G14" s="19">
        <f t="shared" si="8"/>
        <v>8263</v>
      </c>
      <c r="H14" s="19">
        <f t="shared" si="8"/>
        <v>8263</v>
      </c>
      <c r="I14" s="19">
        <f t="shared" si="8"/>
        <v>8263</v>
      </c>
      <c r="J14" s="19">
        <f t="shared" si="8"/>
        <v>8263</v>
      </c>
      <c r="K14" s="19">
        <f t="shared" si="8"/>
        <v>8264</v>
      </c>
      <c r="L14" s="19">
        <f t="shared" si="8"/>
        <v>8263</v>
      </c>
      <c r="M14" s="19">
        <f t="shared" si="8"/>
        <v>8263</v>
      </c>
      <c r="N14" s="19">
        <f t="shared" si="8"/>
        <v>8263</v>
      </c>
      <c r="O14" s="19">
        <f t="shared" si="8"/>
        <v>8263</v>
      </c>
      <c r="P14" s="19">
        <f t="shared" si="8"/>
        <v>8263</v>
      </c>
      <c r="Q14" s="19">
        <f t="shared" si="8"/>
        <v>8264</v>
      </c>
      <c r="R14" s="19">
        <f t="shared" si="8"/>
        <v>8263</v>
      </c>
      <c r="S14" s="19">
        <f t="shared" si="8"/>
        <v>0</v>
      </c>
      <c r="T14" s="19">
        <f t="shared" si="8"/>
        <v>0</v>
      </c>
      <c r="U14" s="19">
        <f t="shared" si="8"/>
        <v>0</v>
      </c>
      <c r="V14" s="19">
        <f t="shared" si="8"/>
        <v>0</v>
      </c>
      <c r="W14" s="19">
        <f t="shared" si="8"/>
        <v>0</v>
      </c>
      <c r="X14" s="19">
        <f t="shared" si="8"/>
        <v>0</v>
      </c>
      <c r="Y14" s="19">
        <f t="shared" si="8"/>
        <v>0</v>
      </c>
      <c r="Z14" s="19">
        <f t="shared" si="8"/>
        <v>0</v>
      </c>
      <c r="AA14" s="19">
        <f t="shared" si="8"/>
        <v>0</v>
      </c>
      <c r="AB14" s="19">
        <f t="shared" si="8"/>
        <v>0</v>
      </c>
      <c r="AC14" s="19">
        <f t="shared" si="8"/>
        <v>0</v>
      </c>
      <c r="AD14" s="19">
        <f t="shared" si="8"/>
        <v>0</v>
      </c>
      <c r="AE14" s="19">
        <f t="shared" si="8"/>
        <v>0</v>
      </c>
      <c r="AF14" s="19">
        <f t="shared" si="8"/>
        <v>0</v>
      </c>
      <c r="AG14" s="19">
        <f t="shared" si="8"/>
        <v>0</v>
      </c>
      <c r="AH14" s="19">
        <f t="shared" si="8"/>
        <v>0</v>
      </c>
      <c r="AI14" s="19">
        <f t="shared" si="8"/>
        <v>0</v>
      </c>
    </row>
    <row r="15" spans="1:35" x14ac:dyDescent="0.25">
      <c r="A15" s="28">
        <v>5937</v>
      </c>
      <c r="B15" s="12" t="s">
        <v>938</v>
      </c>
      <c r="C15" s="19"/>
      <c r="D15" s="19">
        <f t="shared" ref="D15:AI15" si="9">+D59+D80</f>
        <v>7825</v>
      </c>
      <c r="E15" s="19">
        <f t="shared" si="9"/>
        <v>7675</v>
      </c>
      <c r="F15" s="19">
        <f t="shared" si="9"/>
        <v>7525</v>
      </c>
      <c r="G15" s="19">
        <f t="shared" si="9"/>
        <v>7375</v>
      </c>
      <c r="H15" s="19">
        <f t="shared" si="9"/>
        <v>7225</v>
      </c>
      <c r="I15" s="19">
        <f t="shared" si="9"/>
        <v>7075</v>
      </c>
      <c r="J15" s="19">
        <f t="shared" si="9"/>
        <v>6925</v>
      </c>
      <c r="K15" s="19">
        <f t="shared" si="9"/>
        <v>6738</v>
      </c>
      <c r="L15" s="19">
        <f t="shared" si="9"/>
        <v>6550</v>
      </c>
      <c r="M15" s="19">
        <f t="shared" si="9"/>
        <v>6363</v>
      </c>
      <c r="N15" s="19">
        <f t="shared" si="9"/>
        <v>6175</v>
      </c>
      <c r="O15" s="19">
        <f t="shared" si="9"/>
        <v>5988</v>
      </c>
      <c r="P15" s="19">
        <f t="shared" si="9"/>
        <v>5800</v>
      </c>
      <c r="Q15" s="19">
        <f t="shared" si="9"/>
        <v>5600</v>
      </c>
      <c r="R15" s="19">
        <f t="shared" si="9"/>
        <v>5400</v>
      </c>
      <c r="S15" s="19">
        <f t="shared" si="9"/>
        <v>5200</v>
      </c>
      <c r="T15" s="19">
        <f t="shared" si="9"/>
        <v>0</v>
      </c>
      <c r="U15" s="19">
        <f t="shared" si="9"/>
        <v>0</v>
      </c>
      <c r="V15" s="19">
        <f t="shared" si="9"/>
        <v>0</v>
      </c>
      <c r="W15" s="19">
        <f t="shared" si="9"/>
        <v>0</v>
      </c>
      <c r="X15" s="19">
        <f t="shared" si="9"/>
        <v>0</v>
      </c>
      <c r="Y15" s="19">
        <f t="shared" si="9"/>
        <v>0</v>
      </c>
      <c r="Z15" s="19">
        <f t="shared" si="9"/>
        <v>0</v>
      </c>
      <c r="AA15" s="19">
        <f t="shared" si="9"/>
        <v>0</v>
      </c>
      <c r="AB15" s="19">
        <f t="shared" si="9"/>
        <v>0</v>
      </c>
      <c r="AC15" s="19">
        <f t="shared" si="9"/>
        <v>0</v>
      </c>
      <c r="AD15" s="19">
        <f t="shared" si="9"/>
        <v>0</v>
      </c>
      <c r="AE15" s="19">
        <f t="shared" si="9"/>
        <v>0</v>
      </c>
      <c r="AF15" s="19">
        <f t="shared" si="9"/>
        <v>0</v>
      </c>
      <c r="AG15" s="19">
        <f t="shared" si="9"/>
        <v>0</v>
      </c>
      <c r="AH15" s="19">
        <f t="shared" si="9"/>
        <v>0</v>
      </c>
      <c r="AI15" s="19">
        <f t="shared" si="9"/>
        <v>0</v>
      </c>
    </row>
    <row r="16" spans="1:35" x14ac:dyDescent="0.25">
      <c r="A16" s="28">
        <v>5938</v>
      </c>
      <c r="B16" s="12" t="s">
        <v>761</v>
      </c>
      <c r="C16" s="19"/>
      <c r="D16" s="19">
        <f t="shared" ref="D16:AI16" si="10">+D60+D81</f>
        <v>10645</v>
      </c>
      <c r="E16" s="19">
        <f t="shared" si="10"/>
        <v>10430</v>
      </c>
      <c r="F16" s="19">
        <f t="shared" si="10"/>
        <v>10215</v>
      </c>
      <c r="G16" s="19">
        <f t="shared" si="10"/>
        <v>0</v>
      </c>
      <c r="H16" s="19">
        <f t="shared" si="10"/>
        <v>0</v>
      </c>
      <c r="I16" s="19">
        <f t="shared" si="10"/>
        <v>0</v>
      </c>
      <c r="J16" s="19">
        <f t="shared" si="10"/>
        <v>0</v>
      </c>
      <c r="K16" s="19">
        <f t="shared" si="10"/>
        <v>0</v>
      </c>
      <c r="L16" s="19">
        <f t="shared" si="10"/>
        <v>0</v>
      </c>
      <c r="M16" s="19">
        <f t="shared" si="10"/>
        <v>0</v>
      </c>
      <c r="N16" s="19">
        <f t="shared" si="10"/>
        <v>0</v>
      </c>
      <c r="O16" s="19">
        <f t="shared" si="10"/>
        <v>0</v>
      </c>
      <c r="P16" s="19">
        <f t="shared" si="10"/>
        <v>0</v>
      </c>
      <c r="Q16" s="19">
        <f t="shared" si="10"/>
        <v>0</v>
      </c>
      <c r="R16" s="19">
        <f t="shared" si="10"/>
        <v>0</v>
      </c>
      <c r="S16" s="19">
        <f t="shared" si="10"/>
        <v>0</v>
      </c>
      <c r="T16" s="19">
        <f t="shared" si="10"/>
        <v>0</v>
      </c>
      <c r="U16" s="19">
        <f t="shared" si="10"/>
        <v>0</v>
      </c>
      <c r="V16" s="19">
        <f t="shared" si="10"/>
        <v>0</v>
      </c>
      <c r="W16" s="19">
        <f t="shared" si="10"/>
        <v>0</v>
      </c>
      <c r="X16" s="19">
        <f t="shared" si="10"/>
        <v>0</v>
      </c>
      <c r="Y16" s="19">
        <f t="shared" si="10"/>
        <v>0</v>
      </c>
      <c r="Z16" s="19">
        <f t="shared" si="10"/>
        <v>0</v>
      </c>
      <c r="AA16" s="19">
        <f t="shared" si="10"/>
        <v>0</v>
      </c>
      <c r="AB16" s="19">
        <f t="shared" si="10"/>
        <v>0</v>
      </c>
      <c r="AC16" s="19">
        <f t="shared" si="10"/>
        <v>0</v>
      </c>
      <c r="AD16" s="19">
        <f t="shared" si="10"/>
        <v>0</v>
      </c>
      <c r="AE16" s="19">
        <f t="shared" si="10"/>
        <v>0</v>
      </c>
      <c r="AF16" s="19">
        <f t="shared" si="10"/>
        <v>0</v>
      </c>
      <c r="AG16" s="19">
        <f t="shared" si="10"/>
        <v>0</v>
      </c>
      <c r="AH16" s="19">
        <f t="shared" si="10"/>
        <v>0</v>
      </c>
      <c r="AI16" s="19">
        <f t="shared" si="10"/>
        <v>0</v>
      </c>
    </row>
    <row r="17" spans="1:35" x14ac:dyDescent="0.25">
      <c r="A17" s="28">
        <v>5939</v>
      </c>
      <c r="B17" s="12" t="s">
        <v>762</v>
      </c>
      <c r="C17" s="19"/>
      <c r="D17" s="19">
        <f t="shared" ref="D17:AI17" si="11">+D61+D82</f>
        <v>10645</v>
      </c>
      <c r="E17" s="19">
        <f t="shared" si="11"/>
        <v>10430</v>
      </c>
      <c r="F17" s="19">
        <f t="shared" si="11"/>
        <v>10215</v>
      </c>
      <c r="G17" s="19">
        <f t="shared" si="11"/>
        <v>0</v>
      </c>
      <c r="H17" s="19">
        <f t="shared" si="11"/>
        <v>0</v>
      </c>
      <c r="I17" s="19">
        <f t="shared" si="11"/>
        <v>0</v>
      </c>
      <c r="J17" s="19">
        <f t="shared" si="11"/>
        <v>0</v>
      </c>
      <c r="K17" s="19">
        <f t="shared" si="11"/>
        <v>0</v>
      </c>
      <c r="L17" s="19">
        <f t="shared" si="11"/>
        <v>0</v>
      </c>
      <c r="M17" s="19">
        <f t="shared" si="11"/>
        <v>0</v>
      </c>
      <c r="N17" s="19">
        <f t="shared" si="11"/>
        <v>0</v>
      </c>
      <c r="O17" s="19">
        <f t="shared" si="11"/>
        <v>0</v>
      </c>
      <c r="P17" s="19">
        <f t="shared" si="11"/>
        <v>0</v>
      </c>
      <c r="Q17" s="19">
        <f t="shared" si="11"/>
        <v>0</v>
      </c>
      <c r="R17" s="19">
        <f t="shared" si="11"/>
        <v>0</v>
      </c>
      <c r="S17" s="19">
        <f t="shared" si="11"/>
        <v>0</v>
      </c>
      <c r="T17" s="19">
        <f t="shared" si="11"/>
        <v>0</v>
      </c>
      <c r="U17" s="19">
        <f t="shared" si="11"/>
        <v>0</v>
      </c>
      <c r="V17" s="19">
        <f t="shared" si="11"/>
        <v>0</v>
      </c>
      <c r="W17" s="19">
        <f t="shared" si="11"/>
        <v>0</v>
      </c>
      <c r="X17" s="19">
        <f t="shared" si="11"/>
        <v>0</v>
      </c>
      <c r="Y17" s="19">
        <f t="shared" si="11"/>
        <v>0</v>
      </c>
      <c r="Z17" s="19">
        <f t="shared" si="11"/>
        <v>0</v>
      </c>
      <c r="AA17" s="19">
        <f t="shared" si="11"/>
        <v>0</v>
      </c>
      <c r="AB17" s="19">
        <f t="shared" si="11"/>
        <v>0</v>
      </c>
      <c r="AC17" s="19">
        <f t="shared" si="11"/>
        <v>0</v>
      </c>
      <c r="AD17" s="19">
        <f t="shared" si="11"/>
        <v>0</v>
      </c>
      <c r="AE17" s="19">
        <f t="shared" si="11"/>
        <v>0</v>
      </c>
      <c r="AF17" s="19">
        <f t="shared" si="11"/>
        <v>0</v>
      </c>
      <c r="AG17" s="19">
        <f t="shared" si="11"/>
        <v>0</v>
      </c>
      <c r="AH17" s="19">
        <f t="shared" si="11"/>
        <v>0</v>
      </c>
      <c r="AI17" s="19">
        <f t="shared" si="11"/>
        <v>0</v>
      </c>
    </row>
    <row r="18" spans="1:35" x14ac:dyDescent="0.25">
      <c r="A18" s="28">
        <v>5944</v>
      </c>
      <c r="B18" s="12" t="s">
        <v>1046</v>
      </c>
      <c r="C18" s="19"/>
      <c r="D18" s="19">
        <f t="shared" ref="D18:AI18" si="12">+D62+D83</f>
        <v>0</v>
      </c>
      <c r="E18" s="19">
        <f t="shared" si="12"/>
        <v>0</v>
      </c>
      <c r="F18" s="19">
        <f t="shared" si="12"/>
        <v>0</v>
      </c>
      <c r="G18" s="19">
        <f t="shared" si="12"/>
        <v>0</v>
      </c>
      <c r="H18" s="19">
        <f t="shared" si="12"/>
        <v>0</v>
      </c>
      <c r="I18" s="19">
        <f t="shared" si="12"/>
        <v>0</v>
      </c>
      <c r="J18" s="19">
        <f t="shared" si="12"/>
        <v>0</v>
      </c>
      <c r="K18" s="19">
        <f t="shared" si="12"/>
        <v>0</v>
      </c>
      <c r="L18" s="19">
        <f t="shared" si="12"/>
        <v>0</v>
      </c>
      <c r="M18" s="19">
        <f t="shared" si="12"/>
        <v>0</v>
      </c>
      <c r="N18" s="19">
        <f t="shared" si="12"/>
        <v>0</v>
      </c>
      <c r="O18" s="19">
        <f t="shared" si="12"/>
        <v>0</v>
      </c>
      <c r="P18" s="19">
        <f t="shared" si="12"/>
        <v>0</v>
      </c>
      <c r="Q18" s="19">
        <f t="shared" si="12"/>
        <v>0</v>
      </c>
      <c r="R18" s="19">
        <f t="shared" si="12"/>
        <v>0</v>
      </c>
      <c r="S18" s="19">
        <f t="shared" si="12"/>
        <v>0</v>
      </c>
      <c r="T18" s="19">
        <f t="shared" si="12"/>
        <v>0</v>
      </c>
      <c r="U18" s="19">
        <f t="shared" si="12"/>
        <v>0</v>
      </c>
      <c r="V18" s="19">
        <f t="shared" si="12"/>
        <v>0</v>
      </c>
      <c r="W18" s="19">
        <f t="shared" si="12"/>
        <v>0</v>
      </c>
      <c r="X18" s="19">
        <f t="shared" si="12"/>
        <v>0</v>
      </c>
      <c r="Y18" s="19">
        <f t="shared" si="12"/>
        <v>0</v>
      </c>
      <c r="Z18" s="19">
        <f t="shared" si="12"/>
        <v>0</v>
      </c>
      <c r="AA18" s="19">
        <f t="shared" si="12"/>
        <v>0</v>
      </c>
      <c r="AB18" s="19">
        <f t="shared" si="12"/>
        <v>0</v>
      </c>
      <c r="AC18" s="19">
        <f t="shared" si="12"/>
        <v>0</v>
      </c>
      <c r="AD18" s="19">
        <f t="shared" si="12"/>
        <v>0</v>
      </c>
      <c r="AE18" s="19">
        <f t="shared" si="12"/>
        <v>0</v>
      </c>
      <c r="AF18" s="19">
        <f t="shared" si="12"/>
        <v>0</v>
      </c>
      <c r="AG18" s="19">
        <f t="shared" si="12"/>
        <v>0</v>
      </c>
      <c r="AH18" s="19">
        <f t="shared" si="12"/>
        <v>0</v>
      </c>
      <c r="AI18" s="19">
        <f t="shared" si="12"/>
        <v>0</v>
      </c>
    </row>
    <row r="19" spans="1:35" x14ac:dyDescent="0.25">
      <c r="A19" s="28">
        <v>5947</v>
      </c>
      <c r="B19" s="12" t="s">
        <v>1113</v>
      </c>
      <c r="C19" s="19"/>
      <c r="D19" s="19">
        <f t="shared" ref="D19:AI19" si="13">+D63+D83</f>
        <v>3100</v>
      </c>
      <c r="E19" s="19">
        <f t="shared" si="13"/>
        <v>0</v>
      </c>
      <c r="F19" s="19">
        <f t="shared" si="13"/>
        <v>0</v>
      </c>
      <c r="G19" s="19">
        <f t="shared" si="13"/>
        <v>0</v>
      </c>
      <c r="H19" s="19">
        <f t="shared" si="13"/>
        <v>0</v>
      </c>
      <c r="I19" s="19">
        <f t="shared" si="13"/>
        <v>0</v>
      </c>
      <c r="J19" s="19">
        <f t="shared" si="13"/>
        <v>0</v>
      </c>
      <c r="K19" s="19">
        <f t="shared" si="13"/>
        <v>0</v>
      </c>
      <c r="L19" s="19">
        <f t="shared" si="13"/>
        <v>0</v>
      </c>
      <c r="M19" s="19">
        <f t="shared" si="13"/>
        <v>0</v>
      </c>
      <c r="N19" s="19">
        <f t="shared" si="13"/>
        <v>0</v>
      </c>
      <c r="O19" s="19">
        <f t="shared" si="13"/>
        <v>0</v>
      </c>
      <c r="P19" s="19">
        <f t="shared" si="13"/>
        <v>0</v>
      </c>
      <c r="Q19" s="19">
        <f t="shared" si="13"/>
        <v>0</v>
      </c>
      <c r="R19" s="19">
        <f t="shared" si="13"/>
        <v>0</v>
      </c>
      <c r="S19" s="19">
        <f t="shared" si="13"/>
        <v>0</v>
      </c>
      <c r="T19" s="19">
        <f t="shared" si="13"/>
        <v>0</v>
      </c>
      <c r="U19" s="19">
        <f t="shared" si="13"/>
        <v>0</v>
      </c>
      <c r="V19" s="19">
        <f t="shared" si="13"/>
        <v>0</v>
      </c>
      <c r="W19" s="19">
        <f t="shared" si="13"/>
        <v>0</v>
      </c>
      <c r="X19" s="19">
        <f t="shared" si="13"/>
        <v>0</v>
      </c>
      <c r="Y19" s="19">
        <f t="shared" si="13"/>
        <v>0</v>
      </c>
      <c r="Z19" s="19">
        <f t="shared" si="13"/>
        <v>0</v>
      </c>
      <c r="AA19" s="19">
        <f t="shared" si="13"/>
        <v>0</v>
      </c>
      <c r="AB19" s="19">
        <f t="shared" si="13"/>
        <v>0</v>
      </c>
      <c r="AC19" s="19">
        <f t="shared" si="13"/>
        <v>0</v>
      </c>
      <c r="AD19" s="19">
        <f t="shared" si="13"/>
        <v>0</v>
      </c>
      <c r="AE19" s="19">
        <f t="shared" si="13"/>
        <v>0</v>
      </c>
      <c r="AF19" s="19">
        <f t="shared" si="13"/>
        <v>0</v>
      </c>
      <c r="AG19" s="19">
        <f t="shared" si="13"/>
        <v>0</v>
      </c>
      <c r="AH19" s="19">
        <f t="shared" si="13"/>
        <v>0</v>
      </c>
      <c r="AI19" s="19">
        <f t="shared" si="13"/>
        <v>0</v>
      </c>
    </row>
    <row r="20" spans="1:35" x14ac:dyDescent="0.25">
      <c r="A20" s="28"/>
      <c r="B20" s="29"/>
      <c r="C20" s="19"/>
      <c r="D20" s="19">
        <f>+D64+D84</f>
        <v>0</v>
      </c>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row>
    <row r="21" spans="1:35" x14ac:dyDescent="0.25">
      <c r="A21" s="28"/>
      <c r="B21" s="29" t="s">
        <v>1125</v>
      </c>
      <c r="C21" s="19"/>
      <c r="D21" s="19">
        <f>+D65+D86</f>
        <v>132560</v>
      </c>
      <c r="E21" s="19">
        <f t="shared" ref="E21:AI21" si="14">+E65+E86</f>
        <v>128312</v>
      </c>
      <c r="F21" s="19">
        <f t="shared" si="14"/>
        <v>124016</v>
      </c>
      <c r="G21" s="19">
        <f t="shared" si="14"/>
        <v>119719</v>
      </c>
      <c r="H21" s="19">
        <f t="shared" si="14"/>
        <v>115325</v>
      </c>
      <c r="I21" s="19">
        <f t="shared" si="14"/>
        <v>110930</v>
      </c>
      <c r="J21" s="19">
        <f t="shared" si="14"/>
        <v>106536</v>
      </c>
      <c r="K21" s="19">
        <f t="shared" si="14"/>
        <v>102142</v>
      </c>
      <c r="L21" s="19">
        <f t="shared" si="14"/>
        <v>0</v>
      </c>
      <c r="M21" s="19">
        <f t="shared" si="14"/>
        <v>0</v>
      </c>
      <c r="N21" s="19">
        <f t="shared" si="14"/>
        <v>0</v>
      </c>
      <c r="O21" s="19">
        <f t="shared" si="14"/>
        <v>0</v>
      </c>
      <c r="P21" s="19">
        <f t="shared" si="14"/>
        <v>0</v>
      </c>
      <c r="Q21" s="19">
        <f t="shared" si="14"/>
        <v>0</v>
      </c>
      <c r="R21" s="19">
        <f t="shared" si="14"/>
        <v>0</v>
      </c>
      <c r="S21" s="19">
        <f t="shared" si="14"/>
        <v>0</v>
      </c>
      <c r="T21" s="19">
        <f t="shared" si="14"/>
        <v>0</v>
      </c>
      <c r="U21" s="19">
        <f t="shared" si="14"/>
        <v>0</v>
      </c>
      <c r="V21" s="19">
        <f t="shared" si="14"/>
        <v>0</v>
      </c>
      <c r="W21" s="19">
        <f t="shared" si="14"/>
        <v>0</v>
      </c>
      <c r="X21" s="19">
        <f t="shared" si="14"/>
        <v>0</v>
      </c>
      <c r="Y21" s="19">
        <f t="shared" si="14"/>
        <v>0</v>
      </c>
      <c r="Z21" s="19">
        <f t="shared" si="14"/>
        <v>0</v>
      </c>
      <c r="AA21" s="19">
        <f t="shared" si="14"/>
        <v>0</v>
      </c>
      <c r="AB21" s="19">
        <f t="shared" si="14"/>
        <v>0</v>
      </c>
      <c r="AC21" s="19">
        <f t="shared" si="14"/>
        <v>0</v>
      </c>
      <c r="AD21" s="19">
        <f t="shared" si="14"/>
        <v>0</v>
      </c>
      <c r="AE21" s="19">
        <f t="shared" si="14"/>
        <v>0</v>
      </c>
      <c r="AF21" s="19">
        <f t="shared" si="14"/>
        <v>0</v>
      </c>
      <c r="AG21" s="19">
        <f t="shared" si="14"/>
        <v>0</v>
      </c>
      <c r="AH21" s="19">
        <f t="shared" si="14"/>
        <v>0</v>
      </c>
      <c r="AI21" s="19">
        <f t="shared" si="14"/>
        <v>0</v>
      </c>
    </row>
    <row r="22" spans="1:35" x14ac:dyDescent="0.25">
      <c r="A22" s="28"/>
      <c r="B22" s="29" t="s">
        <v>1114</v>
      </c>
      <c r="C22" s="19"/>
      <c r="D22" s="19">
        <f>+D66+D87</f>
        <v>66552</v>
      </c>
      <c r="E22" s="19">
        <f t="shared" ref="E22:AI22" si="15">+E66+E87</f>
        <v>64914</v>
      </c>
      <c r="F22" s="19">
        <f t="shared" si="15"/>
        <v>63276</v>
      </c>
      <c r="G22" s="19">
        <f t="shared" si="15"/>
        <v>61638</v>
      </c>
      <c r="H22" s="19">
        <f t="shared" si="15"/>
        <v>0</v>
      </c>
      <c r="I22" s="19">
        <f t="shared" si="15"/>
        <v>0</v>
      </c>
      <c r="J22" s="19">
        <f t="shared" si="15"/>
        <v>0</v>
      </c>
      <c r="K22" s="19">
        <f t="shared" si="15"/>
        <v>0</v>
      </c>
      <c r="L22" s="19">
        <f t="shared" si="15"/>
        <v>0</v>
      </c>
      <c r="M22" s="19">
        <f t="shared" si="15"/>
        <v>0</v>
      </c>
      <c r="N22" s="19">
        <f t="shared" si="15"/>
        <v>0</v>
      </c>
      <c r="O22" s="19">
        <f t="shared" si="15"/>
        <v>0</v>
      </c>
      <c r="P22" s="19">
        <f t="shared" si="15"/>
        <v>0</v>
      </c>
      <c r="Q22" s="19">
        <f t="shared" si="15"/>
        <v>0</v>
      </c>
      <c r="R22" s="19">
        <f t="shared" si="15"/>
        <v>0</v>
      </c>
      <c r="S22" s="19">
        <f t="shared" si="15"/>
        <v>0</v>
      </c>
      <c r="T22" s="19">
        <f t="shared" si="15"/>
        <v>0</v>
      </c>
      <c r="U22" s="19">
        <f t="shared" si="15"/>
        <v>0</v>
      </c>
      <c r="V22" s="19">
        <f t="shared" si="15"/>
        <v>0</v>
      </c>
      <c r="W22" s="19">
        <f t="shared" si="15"/>
        <v>0</v>
      </c>
      <c r="X22" s="19">
        <f t="shared" si="15"/>
        <v>0</v>
      </c>
      <c r="Y22" s="19">
        <f t="shared" si="15"/>
        <v>0</v>
      </c>
      <c r="Z22" s="19">
        <f t="shared" si="15"/>
        <v>0</v>
      </c>
      <c r="AA22" s="19">
        <f t="shared" si="15"/>
        <v>0</v>
      </c>
      <c r="AB22" s="19">
        <f t="shared" si="15"/>
        <v>0</v>
      </c>
      <c r="AC22" s="19">
        <f t="shared" si="15"/>
        <v>0</v>
      </c>
      <c r="AD22" s="19">
        <f t="shared" si="15"/>
        <v>0</v>
      </c>
      <c r="AE22" s="19">
        <f t="shared" si="15"/>
        <v>0</v>
      </c>
      <c r="AF22" s="19">
        <f t="shared" si="15"/>
        <v>0</v>
      </c>
      <c r="AG22" s="19">
        <f t="shared" si="15"/>
        <v>0</v>
      </c>
      <c r="AH22" s="19">
        <f t="shared" si="15"/>
        <v>0</v>
      </c>
      <c r="AI22" s="19">
        <f t="shared" si="15"/>
        <v>0</v>
      </c>
    </row>
    <row r="23" spans="1:35" ht="13.8" thickBot="1" x14ac:dyDescent="0.3">
      <c r="A23" s="28"/>
      <c r="B23" s="29"/>
      <c r="C23" s="19"/>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row>
    <row r="24" spans="1:35" ht="13.8" thickBot="1" x14ac:dyDescent="0.3">
      <c r="A24" s="28"/>
      <c r="B24" s="29" t="s">
        <v>1123</v>
      </c>
      <c r="C24" s="19"/>
      <c r="D24" s="576">
        <f t="shared" ref="D24:AI24" si="16">SUM(D6:D23)</f>
        <v>808886</v>
      </c>
      <c r="E24" s="576">
        <f t="shared" si="16"/>
        <v>795496</v>
      </c>
      <c r="F24" s="576">
        <f t="shared" si="16"/>
        <v>751060</v>
      </c>
      <c r="G24" s="576">
        <f t="shared" si="16"/>
        <v>721554</v>
      </c>
      <c r="H24" s="576">
        <f t="shared" si="16"/>
        <v>657205</v>
      </c>
      <c r="I24" s="576">
        <f t="shared" si="16"/>
        <v>653889</v>
      </c>
      <c r="J24" s="576">
        <f t="shared" si="16"/>
        <v>649934</v>
      </c>
      <c r="K24" s="576">
        <f t="shared" si="16"/>
        <v>644510</v>
      </c>
      <c r="L24" s="576">
        <f t="shared" si="16"/>
        <v>539903</v>
      </c>
      <c r="M24" s="576">
        <f t="shared" si="16"/>
        <v>513151</v>
      </c>
      <c r="N24" s="576">
        <f t="shared" si="16"/>
        <v>93693</v>
      </c>
      <c r="O24" s="576">
        <f t="shared" si="16"/>
        <v>93464</v>
      </c>
      <c r="P24" s="576">
        <f t="shared" si="16"/>
        <v>93230</v>
      </c>
      <c r="Q24" s="576">
        <f t="shared" si="16"/>
        <v>92986</v>
      </c>
      <c r="R24" s="576">
        <f t="shared" si="16"/>
        <v>92737</v>
      </c>
      <c r="S24" s="576">
        <f t="shared" si="16"/>
        <v>84228</v>
      </c>
      <c r="T24" s="576">
        <f t="shared" si="16"/>
        <v>78979</v>
      </c>
      <c r="U24" s="576">
        <f t="shared" si="16"/>
        <v>78929</v>
      </c>
      <c r="V24" s="576">
        <f t="shared" si="16"/>
        <v>78877</v>
      </c>
      <c r="W24" s="576">
        <f t="shared" si="16"/>
        <v>78824</v>
      </c>
      <c r="X24" s="576">
        <f t="shared" si="16"/>
        <v>42923</v>
      </c>
      <c r="Y24" s="576">
        <f t="shared" si="16"/>
        <v>42923</v>
      </c>
      <c r="Z24" s="576">
        <f t="shared" si="16"/>
        <v>42924</v>
      </c>
      <c r="AA24" s="576">
        <f t="shared" si="16"/>
        <v>42923</v>
      </c>
      <c r="AB24" s="576">
        <f t="shared" si="16"/>
        <v>42924</v>
      </c>
      <c r="AC24" s="576">
        <f t="shared" si="16"/>
        <v>42923</v>
      </c>
      <c r="AD24" s="576">
        <f t="shared" si="16"/>
        <v>42923</v>
      </c>
      <c r="AE24" s="576">
        <f t="shared" si="16"/>
        <v>42854</v>
      </c>
      <c r="AF24" s="576">
        <f t="shared" si="16"/>
        <v>20621</v>
      </c>
      <c r="AG24" s="576">
        <f t="shared" si="16"/>
        <v>20497</v>
      </c>
      <c r="AH24" s="576">
        <f t="shared" si="16"/>
        <v>0</v>
      </c>
      <c r="AI24" s="576">
        <f t="shared" si="16"/>
        <v>0</v>
      </c>
    </row>
    <row r="25" spans="1:35" x14ac:dyDescent="0.25">
      <c r="A25" s="28"/>
      <c r="B25" s="2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row>
    <row r="26" spans="1:35" x14ac:dyDescent="0.25">
      <c r="B26" s="575" t="s">
        <v>1124</v>
      </c>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row>
    <row r="27" spans="1:35" x14ac:dyDescent="0.25">
      <c r="A27" s="28"/>
      <c r="B27" s="2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row>
    <row r="28" spans="1:35" x14ac:dyDescent="0.25">
      <c r="A28" s="11" t="s">
        <v>517</v>
      </c>
      <c r="B28" s="12" t="s">
        <v>525</v>
      </c>
      <c r="C28" s="19"/>
      <c r="D28" s="19">
        <f t="shared" ref="D28:AI28" si="17">+D92+D109</f>
        <v>36675</v>
      </c>
      <c r="E28" s="19">
        <f t="shared" si="17"/>
        <v>35250</v>
      </c>
      <c r="F28" s="19">
        <f t="shared" si="17"/>
        <v>28750</v>
      </c>
      <c r="G28" s="19">
        <f t="shared" si="17"/>
        <v>27500</v>
      </c>
      <c r="H28" s="19">
        <f t="shared" si="17"/>
        <v>26250</v>
      </c>
      <c r="I28" s="19">
        <f t="shared" si="17"/>
        <v>0</v>
      </c>
      <c r="J28" s="19">
        <f t="shared" si="17"/>
        <v>0</v>
      </c>
      <c r="K28" s="19">
        <f t="shared" si="17"/>
        <v>0</v>
      </c>
      <c r="L28" s="19">
        <f t="shared" si="17"/>
        <v>0</v>
      </c>
      <c r="M28" s="19">
        <f t="shared" si="17"/>
        <v>0</v>
      </c>
      <c r="N28" s="19">
        <f t="shared" si="17"/>
        <v>0</v>
      </c>
      <c r="O28" s="19">
        <f t="shared" si="17"/>
        <v>0</v>
      </c>
      <c r="P28" s="19">
        <f t="shared" si="17"/>
        <v>0</v>
      </c>
      <c r="Q28" s="19">
        <f t="shared" si="17"/>
        <v>0</v>
      </c>
      <c r="R28" s="19">
        <f t="shared" si="17"/>
        <v>0</v>
      </c>
      <c r="S28" s="19">
        <f t="shared" si="17"/>
        <v>0</v>
      </c>
      <c r="T28" s="19">
        <f t="shared" si="17"/>
        <v>0</v>
      </c>
      <c r="U28" s="19">
        <f t="shared" si="17"/>
        <v>0</v>
      </c>
      <c r="V28" s="19">
        <f t="shared" si="17"/>
        <v>0</v>
      </c>
      <c r="W28" s="19">
        <f t="shared" si="17"/>
        <v>0</v>
      </c>
      <c r="X28" s="19">
        <f t="shared" si="17"/>
        <v>0</v>
      </c>
      <c r="Y28" s="19">
        <f t="shared" si="17"/>
        <v>0</v>
      </c>
      <c r="Z28" s="19">
        <f t="shared" si="17"/>
        <v>0</v>
      </c>
      <c r="AA28" s="19">
        <f t="shared" si="17"/>
        <v>0</v>
      </c>
      <c r="AB28" s="19">
        <f t="shared" si="17"/>
        <v>0</v>
      </c>
      <c r="AC28" s="19">
        <f t="shared" si="17"/>
        <v>0</v>
      </c>
      <c r="AD28" s="19">
        <f t="shared" si="17"/>
        <v>0</v>
      </c>
      <c r="AE28" s="19">
        <f t="shared" si="17"/>
        <v>0</v>
      </c>
      <c r="AF28" s="19">
        <f t="shared" si="17"/>
        <v>0</v>
      </c>
      <c r="AG28" s="19">
        <f t="shared" si="17"/>
        <v>0</v>
      </c>
      <c r="AH28" s="19">
        <f t="shared" si="17"/>
        <v>0</v>
      </c>
      <c r="AI28" s="19">
        <f t="shared" si="17"/>
        <v>0</v>
      </c>
    </row>
    <row r="29" spans="1:35" x14ac:dyDescent="0.25">
      <c r="A29" s="11" t="s">
        <v>521</v>
      </c>
      <c r="B29" s="12" t="s">
        <v>526</v>
      </c>
      <c r="C29" s="19"/>
      <c r="D29" s="19">
        <f t="shared" ref="D29:AI29" si="18">+D93+D110</f>
        <v>5988</v>
      </c>
      <c r="E29" s="19">
        <f t="shared" si="18"/>
        <v>5750</v>
      </c>
      <c r="F29" s="19">
        <f t="shared" si="18"/>
        <v>5500</v>
      </c>
      <c r="G29" s="19">
        <f t="shared" si="18"/>
        <v>5250</v>
      </c>
      <c r="H29" s="19">
        <f t="shared" si="18"/>
        <v>0</v>
      </c>
      <c r="I29" s="19">
        <f t="shared" si="18"/>
        <v>0</v>
      </c>
      <c r="J29" s="19">
        <f t="shared" si="18"/>
        <v>0</v>
      </c>
      <c r="K29" s="19">
        <f t="shared" si="18"/>
        <v>0</v>
      </c>
      <c r="L29" s="19">
        <f t="shared" si="18"/>
        <v>0</v>
      </c>
      <c r="M29" s="19">
        <f t="shared" si="18"/>
        <v>0</v>
      </c>
      <c r="N29" s="19">
        <f t="shared" si="18"/>
        <v>0</v>
      </c>
      <c r="O29" s="19">
        <f t="shared" si="18"/>
        <v>0</v>
      </c>
      <c r="P29" s="19">
        <f t="shared" si="18"/>
        <v>0</v>
      </c>
      <c r="Q29" s="19">
        <f t="shared" si="18"/>
        <v>0</v>
      </c>
      <c r="R29" s="19">
        <f t="shared" si="18"/>
        <v>0</v>
      </c>
      <c r="S29" s="19">
        <f t="shared" si="18"/>
        <v>0</v>
      </c>
      <c r="T29" s="19">
        <f t="shared" si="18"/>
        <v>0</v>
      </c>
      <c r="U29" s="19">
        <f t="shared" si="18"/>
        <v>0</v>
      </c>
      <c r="V29" s="19">
        <f t="shared" si="18"/>
        <v>0</v>
      </c>
      <c r="W29" s="19">
        <f t="shared" si="18"/>
        <v>0</v>
      </c>
      <c r="X29" s="19">
        <f t="shared" si="18"/>
        <v>0</v>
      </c>
      <c r="Y29" s="19">
        <f t="shared" si="18"/>
        <v>0</v>
      </c>
      <c r="Z29" s="19">
        <f t="shared" si="18"/>
        <v>0</v>
      </c>
      <c r="AA29" s="19">
        <f t="shared" si="18"/>
        <v>0</v>
      </c>
      <c r="AB29" s="19">
        <f t="shared" si="18"/>
        <v>0</v>
      </c>
      <c r="AC29" s="19">
        <f t="shared" si="18"/>
        <v>0</v>
      </c>
      <c r="AD29" s="19">
        <f t="shared" si="18"/>
        <v>0</v>
      </c>
      <c r="AE29" s="19">
        <f t="shared" si="18"/>
        <v>0</v>
      </c>
      <c r="AF29" s="19">
        <f t="shared" si="18"/>
        <v>0</v>
      </c>
      <c r="AG29" s="19">
        <f t="shared" si="18"/>
        <v>0</v>
      </c>
      <c r="AH29" s="19">
        <f t="shared" si="18"/>
        <v>0</v>
      </c>
      <c r="AI29" s="19">
        <f t="shared" si="18"/>
        <v>0</v>
      </c>
    </row>
    <row r="30" spans="1:35" x14ac:dyDescent="0.25">
      <c r="A30" s="11" t="s">
        <v>403</v>
      </c>
      <c r="B30" s="12" t="s">
        <v>397</v>
      </c>
      <c r="C30" s="19"/>
      <c r="D30" s="19">
        <f>+D95+D113</f>
        <v>18900</v>
      </c>
      <c r="E30" s="19">
        <f t="shared" ref="E30:AI30" si="19">+E95+E112</f>
        <v>15000</v>
      </c>
      <c r="F30" s="19">
        <f t="shared" si="19"/>
        <v>15000</v>
      </c>
      <c r="G30" s="19">
        <f t="shared" si="19"/>
        <v>10000</v>
      </c>
      <c r="H30" s="19">
        <f t="shared" si="19"/>
        <v>10000</v>
      </c>
      <c r="I30" s="19">
        <f t="shared" si="19"/>
        <v>10000</v>
      </c>
      <c r="J30" s="19">
        <f t="shared" si="19"/>
        <v>10000</v>
      </c>
      <c r="K30" s="19">
        <f t="shared" si="19"/>
        <v>10000</v>
      </c>
      <c r="L30" s="19">
        <f t="shared" si="19"/>
        <v>10000</v>
      </c>
      <c r="M30" s="19">
        <f t="shared" si="19"/>
        <v>0</v>
      </c>
      <c r="N30" s="19">
        <f t="shared" si="19"/>
        <v>0</v>
      </c>
      <c r="O30" s="19">
        <f t="shared" si="19"/>
        <v>0</v>
      </c>
      <c r="P30" s="19">
        <f t="shared" si="19"/>
        <v>0</v>
      </c>
      <c r="Q30" s="19">
        <f t="shared" si="19"/>
        <v>0</v>
      </c>
      <c r="R30" s="19">
        <f t="shared" si="19"/>
        <v>0</v>
      </c>
      <c r="S30" s="19">
        <f t="shared" si="19"/>
        <v>0</v>
      </c>
      <c r="T30" s="19">
        <f t="shared" si="19"/>
        <v>0</v>
      </c>
      <c r="U30" s="19">
        <f t="shared" si="19"/>
        <v>0</v>
      </c>
      <c r="V30" s="19">
        <f t="shared" si="19"/>
        <v>0</v>
      </c>
      <c r="W30" s="19">
        <f t="shared" si="19"/>
        <v>0</v>
      </c>
      <c r="X30" s="19">
        <f t="shared" si="19"/>
        <v>0</v>
      </c>
      <c r="Y30" s="19">
        <f t="shared" si="19"/>
        <v>0</v>
      </c>
      <c r="Z30" s="19">
        <f t="shared" si="19"/>
        <v>0</v>
      </c>
      <c r="AA30" s="19">
        <f t="shared" si="19"/>
        <v>0</v>
      </c>
      <c r="AB30" s="19">
        <f t="shared" si="19"/>
        <v>0</v>
      </c>
      <c r="AC30" s="19">
        <f t="shared" si="19"/>
        <v>0</v>
      </c>
      <c r="AD30" s="19">
        <f t="shared" si="19"/>
        <v>0</v>
      </c>
      <c r="AE30" s="19">
        <f t="shared" si="19"/>
        <v>0</v>
      </c>
      <c r="AF30" s="19">
        <f t="shared" si="19"/>
        <v>0</v>
      </c>
      <c r="AG30" s="19">
        <f t="shared" si="19"/>
        <v>0</v>
      </c>
      <c r="AH30" s="19">
        <f t="shared" si="19"/>
        <v>0</v>
      </c>
      <c r="AI30" s="19">
        <f t="shared" si="19"/>
        <v>0</v>
      </c>
    </row>
    <row r="31" spans="1:35" x14ac:dyDescent="0.25">
      <c r="A31" s="11" t="s">
        <v>582</v>
      </c>
      <c r="B31" s="63" t="s">
        <v>36</v>
      </c>
      <c r="C31" s="19"/>
      <c r="D31" s="19">
        <f>+D96+D114+D115</f>
        <v>35318</v>
      </c>
      <c r="E31" s="19">
        <f t="shared" ref="E31:AI31" si="20">+E96+E114+E115</f>
        <v>35273</v>
      </c>
      <c r="F31" s="19">
        <f t="shared" si="20"/>
        <v>35715</v>
      </c>
      <c r="G31" s="19">
        <f t="shared" si="20"/>
        <v>35182</v>
      </c>
      <c r="H31" s="19">
        <f t="shared" si="20"/>
        <v>35136</v>
      </c>
      <c r="I31" s="19">
        <f t="shared" si="20"/>
        <v>35086</v>
      </c>
      <c r="J31" s="19">
        <f t="shared" si="20"/>
        <v>35037</v>
      </c>
      <c r="K31" s="19">
        <f t="shared" si="20"/>
        <v>34985</v>
      </c>
      <c r="L31" s="19">
        <f t="shared" si="20"/>
        <v>35175</v>
      </c>
      <c r="M31" s="19">
        <f t="shared" si="20"/>
        <v>0</v>
      </c>
      <c r="N31" s="19">
        <f t="shared" si="20"/>
        <v>0</v>
      </c>
      <c r="O31" s="19">
        <f t="shared" si="20"/>
        <v>0</v>
      </c>
      <c r="P31" s="19">
        <f t="shared" si="20"/>
        <v>0</v>
      </c>
      <c r="Q31" s="19">
        <f t="shared" si="20"/>
        <v>0</v>
      </c>
      <c r="R31" s="19">
        <f t="shared" si="20"/>
        <v>0</v>
      </c>
      <c r="S31" s="19">
        <f t="shared" si="20"/>
        <v>0</v>
      </c>
      <c r="T31" s="19">
        <f t="shared" si="20"/>
        <v>0</v>
      </c>
      <c r="U31" s="19">
        <f t="shared" si="20"/>
        <v>0</v>
      </c>
      <c r="V31" s="19">
        <f t="shared" si="20"/>
        <v>0</v>
      </c>
      <c r="W31" s="19">
        <f t="shared" si="20"/>
        <v>0</v>
      </c>
      <c r="X31" s="19">
        <f t="shared" si="20"/>
        <v>0</v>
      </c>
      <c r="Y31" s="19">
        <f t="shared" si="20"/>
        <v>0</v>
      </c>
      <c r="Z31" s="19">
        <f t="shared" si="20"/>
        <v>0</v>
      </c>
      <c r="AA31" s="19">
        <f t="shared" si="20"/>
        <v>0</v>
      </c>
      <c r="AB31" s="19">
        <f t="shared" si="20"/>
        <v>0</v>
      </c>
      <c r="AC31" s="19">
        <f t="shared" si="20"/>
        <v>0</v>
      </c>
      <c r="AD31" s="19">
        <f t="shared" si="20"/>
        <v>0</v>
      </c>
      <c r="AE31" s="19">
        <f t="shared" si="20"/>
        <v>0</v>
      </c>
      <c r="AF31" s="19">
        <f t="shared" si="20"/>
        <v>0</v>
      </c>
      <c r="AG31" s="19">
        <f t="shared" si="20"/>
        <v>0</v>
      </c>
      <c r="AH31" s="19">
        <f t="shared" si="20"/>
        <v>0</v>
      </c>
      <c r="AI31" s="19">
        <f t="shared" si="20"/>
        <v>0</v>
      </c>
    </row>
    <row r="32" spans="1:35" x14ac:dyDescent="0.25">
      <c r="A32" s="11" t="s">
        <v>583</v>
      </c>
      <c r="B32" s="63" t="s">
        <v>37</v>
      </c>
      <c r="C32" s="19"/>
      <c r="D32" s="19">
        <f>+D168+D175+D176</f>
        <v>55068</v>
      </c>
      <c r="E32" s="19">
        <f t="shared" ref="E32:AI32" si="21">+E168+E175+E176</f>
        <v>55016</v>
      </c>
      <c r="F32" s="19">
        <f t="shared" si="21"/>
        <v>54964</v>
      </c>
      <c r="G32" s="19">
        <f t="shared" si="21"/>
        <v>54911</v>
      </c>
      <c r="H32" s="19">
        <f t="shared" si="21"/>
        <v>54855</v>
      </c>
      <c r="I32" s="19">
        <f t="shared" si="21"/>
        <v>54799</v>
      </c>
      <c r="J32" s="19">
        <f t="shared" si="21"/>
        <v>54682</v>
      </c>
      <c r="K32" s="19">
        <f t="shared" si="21"/>
        <v>54683</v>
      </c>
      <c r="L32" s="19">
        <f t="shared" si="21"/>
        <v>54622</v>
      </c>
      <c r="M32" s="19">
        <f t="shared" si="21"/>
        <v>54560</v>
      </c>
      <c r="N32" s="19">
        <f t="shared" si="21"/>
        <v>54497</v>
      </c>
      <c r="O32" s="19">
        <f t="shared" si="21"/>
        <v>54432</v>
      </c>
      <c r="P32" s="19">
        <f t="shared" si="21"/>
        <v>54366</v>
      </c>
      <c r="Q32" s="19">
        <f t="shared" si="21"/>
        <v>54297</v>
      </c>
      <c r="R32" s="19">
        <f t="shared" si="21"/>
        <v>54228</v>
      </c>
      <c r="S32" s="19">
        <f t="shared" si="21"/>
        <v>54155</v>
      </c>
      <c r="T32" s="19">
        <f t="shared" si="21"/>
        <v>54083</v>
      </c>
      <c r="U32" s="19">
        <f t="shared" si="21"/>
        <v>54007</v>
      </c>
      <c r="V32" s="19">
        <f t="shared" si="21"/>
        <v>53930</v>
      </c>
      <c r="W32" s="19">
        <f t="shared" si="21"/>
        <v>53852</v>
      </c>
      <c r="X32" s="19">
        <f t="shared" si="21"/>
        <v>0</v>
      </c>
      <c r="Y32" s="19">
        <f t="shared" si="21"/>
        <v>0</v>
      </c>
      <c r="Z32" s="19">
        <f t="shared" si="21"/>
        <v>0</v>
      </c>
      <c r="AA32" s="19">
        <f t="shared" si="21"/>
        <v>0</v>
      </c>
      <c r="AB32" s="19">
        <f t="shared" si="21"/>
        <v>0</v>
      </c>
      <c r="AC32" s="19">
        <f t="shared" si="21"/>
        <v>0</v>
      </c>
      <c r="AD32" s="19">
        <f t="shared" si="21"/>
        <v>0</v>
      </c>
      <c r="AE32" s="19">
        <f t="shared" si="21"/>
        <v>0</v>
      </c>
      <c r="AF32" s="19">
        <f t="shared" si="21"/>
        <v>0</v>
      </c>
      <c r="AG32" s="19">
        <f t="shared" si="21"/>
        <v>0</v>
      </c>
      <c r="AH32" s="19">
        <f t="shared" si="21"/>
        <v>0</v>
      </c>
      <c r="AI32" s="19">
        <f t="shared" si="21"/>
        <v>0</v>
      </c>
    </row>
    <row r="33" spans="1:35" x14ac:dyDescent="0.25">
      <c r="A33" s="11" t="s">
        <v>584</v>
      </c>
      <c r="B33" s="63" t="s">
        <v>38</v>
      </c>
      <c r="C33" s="19"/>
      <c r="D33" s="19">
        <f>+D169+D177</f>
        <v>33454</v>
      </c>
      <c r="E33" s="19">
        <f t="shared" ref="E33:AI33" si="22">+E169+E177</f>
        <v>33455</v>
      </c>
      <c r="F33" s="19">
        <f t="shared" si="22"/>
        <v>33455</v>
      </c>
      <c r="G33" s="19">
        <f t="shared" si="22"/>
        <v>33454</v>
      </c>
      <c r="H33" s="19">
        <f t="shared" si="22"/>
        <v>33455</v>
      </c>
      <c r="I33" s="19">
        <f t="shared" si="22"/>
        <v>33455</v>
      </c>
      <c r="J33" s="19">
        <f t="shared" si="22"/>
        <v>33454</v>
      </c>
      <c r="K33" s="19">
        <f t="shared" si="22"/>
        <v>33455</v>
      </c>
      <c r="L33" s="19">
        <f t="shared" si="22"/>
        <v>33455</v>
      </c>
      <c r="M33" s="19">
        <f t="shared" si="22"/>
        <v>33454</v>
      </c>
      <c r="N33" s="19">
        <f t="shared" si="22"/>
        <v>33455</v>
      </c>
      <c r="O33" s="19">
        <f t="shared" si="22"/>
        <v>33454</v>
      </c>
      <c r="P33" s="19">
        <f t="shared" si="22"/>
        <v>33454</v>
      </c>
      <c r="Q33" s="19">
        <f t="shared" si="22"/>
        <v>33455</v>
      </c>
      <c r="R33" s="19">
        <f t="shared" si="22"/>
        <v>33455</v>
      </c>
      <c r="S33" s="19">
        <f t="shared" si="22"/>
        <v>33455</v>
      </c>
      <c r="T33" s="19">
        <f t="shared" si="22"/>
        <v>33454</v>
      </c>
      <c r="U33" s="19">
        <f t="shared" si="22"/>
        <v>33455</v>
      </c>
      <c r="V33" s="19">
        <f t="shared" si="22"/>
        <v>33455</v>
      </c>
      <c r="W33" s="19">
        <f t="shared" si="22"/>
        <v>33455</v>
      </c>
      <c r="X33" s="19">
        <f t="shared" si="22"/>
        <v>33455</v>
      </c>
      <c r="Y33" s="19">
        <f t="shared" si="22"/>
        <v>33455</v>
      </c>
      <c r="Z33" s="19">
        <f t="shared" si="22"/>
        <v>33455</v>
      </c>
      <c r="AA33" s="19">
        <f t="shared" si="22"/>
        <v>33455</v>
      </c>
      <c r="AB33" s="19">
        <f t="shared" si="22"/>
        <v>33455</v>
      </c>
      <c r="AC33" s="19">
        <f t="shared" si="22"/>
        <v>33455</v>
      </c>
      <c r="AD33" s="19">
        <f t="shared" si="22"/>
        <v>33455</v>
      </c>
      <c r="AE33" s="19">
        <f t="shared" si="22"/>
        <v>33351</v>
      </c>
      <c r="AF33" s="19">
        <f t="shared" si="22"/>
        <v>0</v>
      </c>
      <c r="AG33" s="19">
        <f t="shared" si="22"/>
        <v>0</v>
      </c>
      <c r="AH33" s="19">
        <f t="shared" si="22"/>
        <v>0</v>
      </c>
      <c r="AI33" s="19">
        <f t="shared" si="22"/>
        <v>0</v>
      </c>
    </row>
    <row r="34" spans="1:35" x14ac:dyDescent="0.25">
      <c r="A34" s="11" t="s">
        <v>585</v>
      </c>
      <c r="B34" s="63" t="s">
        <v>352</v>
      </c>
      <c r="C34" s="19"/>
      <c r="D34" s="19">
        <f>+D99+D119</f>
        <v>30931</v>
      </c>
      <c r="E34" s="19">
        <f t="shared" ref="E34:AI34" si="23">+E162+E178</f>
        <v>35583</v>
      </c>
      <c r="F34" s="19">
        <f t="shared" si="23"/>
        <v>34924</v>
      </c>
      <c r="G34" s="19">
        <f t="shared" si="23"/>
        <v>34238</v>
      </c>
      <c r="H34" s="19">
        <f t="shared" si="23"/>
        <v>33524</v>
      </c>
      <c r="I34" s="19">
        <f t="shared" si="23"/>
        <v>32781</v>
      </c>
      <c r="J34" s="19">
        <f t="shared" si="23"/>
        <v>32006</v>
      </c>
      <c r="K34" s="19">
        <f t="shared" si="23"/>
        <v>31200</v>
      </c>
      <c r="L34" s="19">
        <f t="shared" si="23"/>
        <v>30361</v>
      </c>
      <c r="M34" s="19">
        <f t="shared" si="23"/>
        <v>29487</v>
      </c>
      <c r="N34" s="19">
        <f t="shared" si="23"/>
        <v>28577</v>
      </c>
      <c r="O34" s="19">
        <f t="shared" si="23"/>
        <v>27629</v>
      </c>
      <c r="P34" s="19">
        <f t="shared" si="23"/>
        <v>26642</v>
      </c>
      <c r="Q34" s="19">
        <f t="shared" si="23"/>
        <v>25615</v>
      </c>
      <c r="R34" s="19">
        <f t="shared" si="23"/>
        <v>24545</v>
      </c>
      <c r="S34" s="19">
        <f t="shared" si="23"/>
        <v>23431</v>
      </c>
      <c r="T34" s="19">
        <f t="shared" si="23"/>
        <v>22271</v>
      </c>
      <c r="U34" s="19">
        <f t="shared" si="23"/>
        <v>21063</v>
      </c>
      <c r="V34" s="19">
        <f t="shared" si="23"/>
        <v>19805</v>
      </c>
      <c r="W34" s="19">
        <f t="shared" si="23"/>
        <v>18496</v>
      </c>
      <c r="X34" s="19">
        <f t="shared" si="23"/>
        <v>17133</v>
      </c>
      <c r="Y34" s="19">
        <f t="shared" si="23"/>
        <v>15713</v>
      </c>
      <c r="Z34" s="19">
        <f t="shared" si="23"/>
        <v>14234</v>
      </c>
      <c r="AA34" s="19">
        <f t="shared" si="23"/>
        <v>12695</v>
      </c>
      <c r="AB34" s="19">
        <f t="shared" si="23"/>
        <v>11092</v>
      </c>
      <c r="AC34" s="19">
        <f t="shared" si="23"/>
        <v>9423</v>
      </c>
      <c r="AD34" s="19">
        <f t="shared" si="23"/>
        <v>7686</v>
      </c>
      <c r="AE34" s="19">
        <f t="shared" si="23"/>
        <v>5876</v>
      </c>
      <c r="AF34" s="19">
        <f t="shared" si="23"/>
        <v>3992</v>
      </c>
      <c r="AG34" s="19">
        <f t="shared" si="23"/>
        <v>2030</v>
      </c>
      <c r="AH34" s="19">
        <f t="shared" si="23"/>
        <v>0</v>
      </c>
      <c r="AI34" s="19">
        <f t="shared" si="23"/>
        <v>0</v>
      </c>
    </row>
    <row r="35" spans="1:35" x14ac:dyDescent="0.25">
      <c r="A35" s="11" t="s">
        <v>586</v>
      </c>
      <c r="B35" s="12" t="s">
        <v>42</v>
      </c>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row>
    <row r="36" spans="1:35" x14ac:dyDescent="0.25">
      <c r="A36" s="11" t="s">
        <v>896</v>
      </c>
      <c r="B36" s="12" t="s">
        <v>940</v>
      </c>
      <c r="C36" s="19"/>
      <c r="D36" s="19">
        <f>+D101+D122</f>
        <v>107300</v>
      </c>
      <c r="E36" s="19">
        <f t="shared" ref="E36:AI36" si="24">+E101+E122</f>
        <v>110500</v>
      </c>
      <c r="F36" s="19">
        <f t="shared" si="24"/>
        <v>108550</v>
      </c>
      <c r="G36" s="19">
        <f t="shared" si="24"/>
        <v>111600</v>
      </c>
      <c r="H36" s="19">
        <f t="shared" si="24"/>
        <v>109500</v>
      </c>
      <c r="I36" s="19">
        <f t="shared" si="24"/>
        <v>112400</v>
      </c>
      <c r="J36" s="19">
        <f t="shared" si="24"/>
        <v>110150</v>
      </c>
      <c r="K36" s="19">
        <f t="shared" si="24"/>
        <v>112338</v>
      </c>
      <c r="L36" s="19">
        <f t="shared" si="24"/>
        <v>109338</v>
      </c>
      <c r="M36" s="19">
        <f t="shared" si="24"/>
        <v>111338</v>
      </c>
      <c r="N36" s="19">
        <f t="shared" si="24"/>
        <v>113150</v>
      </c>
      <c r="O36" s="19">
        <f t="shared" si="24"/>
        <v>109775</v>
      </c>
      <c r="P36" s="19">
        <f t="shared" si="24"/>
        <v>111400</v>
      </c>
      <c r="Q36" s="19">
        <f t="shared" si="24"/>
        <v>112600</v>
      </c>
      <c r="R36" s="19">
        <f t="shared" si="24"/>
        <v>113600</v>
      </c>
      <c r="S36" s="19">
        <f t="shared" si="24"/>
        <v>114400</v>
      </c>
      <c r="T36" s="19">
        <f t="shared" si="24"/>
        <v>0</v>
      </c>
      <c r="U36" s="19">
        <f t="shared" si="24"/>
        <v>0</v>
      </c>
      <c r="V36" s="19">
        <f t="shared" si="24"/>
        <v>0</v>
      </c>
      <c r="W36" s="19">
        <f t="shared" si="24"/>
        <v>0</v>
      </c>
      <c r="X36" s="19">
        <f t="shared" si="24"/>
        <v>0</v>
      </c>
      <c r="Y36" s="19">
        <f t="shared" si="24"/>
        <v>0</v>
      </c>
      <c r="Z36" s="19">
        <f t="shared" si="24"/>
        <v>0</v>
      </c>
      <c r="AA36" s="19">
        <f t="shared" si="24"/>
        <v>0</v>
      </c>
      <c r="AB36" s="19">
        <f t="shared" si="24"/>
        <v>0</v>
      </c>
      <c r="AC36" s="19">
        <f t="shared" si="24"/>
        <v>0</v>
      </c>
      <c r="AD36" s="19">
        <f t="shared" si="24"/>
        <v>0</v>
      </c>
      <c r="AE36" s="19">
        <f t="shared" si="24"/>
        <v>0</v>
      </c>
      <c r="AF36" s="19">
        <f t="shared" si="24"/>
        <v>0</v>
      </c>
      <c r="AG36" s="19">
        <f t="shared" si="24"/>
        <v>0</v>
      </c>
      <c r="AH36" s="19">
        <f t="shared" si="24"/>
        <v>0</v>
      </c>
      <c r="AI36" s="19">
        <f t="shared" si="24"/>
        <v>0</v>
      </c>
    </row>
    <row r="37" spans="1:35" x14ac:dyDescent="0.25">
      <c r="A37" s="11" t="s">
        <v>1027</v>
      </c>
      <c r="B37" s="12" t="s">
        <v>1023</v>
      </c>
      <c r="C37" s="19"/>
      <c r="D37" s="19">
        <f>+D102+D123+D124</f>
        <v>101503</v>
      </c>
      <c r="E37" s="19">
        <f t="shared" ref="E37:AI37" si="25">+E102+E123+E124</f>
        <v>98088</v>
      </c>
      <c r="F37" s="19">
        <f t="shared" si="25"/>
        <v>98103</v>
      </c>
      <c r="G37" s="19">
        <f t="shared" si="25"/>
        <v>98118</v>
      </c>
      <c r="H37" s="19">
        <f t="shared" si="25"/>
        <v>98134</v>
      </c>
      <c r="I37" s="19">
        <f t="shared" si="25"/>
        <v>98150</v>
      </c>
      <c r="J37" s="19">
        <f t="shared" si="25"/>
        <v>98166</v>
      </c>
      <c r="K37" s="19">
        <f t="shared" si="25"/>
        <v>98184</v>
      </c>
      <c r="L37" s="19">
        <f t="shared" si="25"/>
        <v>98201</v>
      </c>
      <c r="M37" s="19">
        <f t="shared" si="25"/>
        <v>98218</v>
      </c>
      <c r="N37" s="19">
        <f t="shared" si="25"/>
        <v>98237</v>
      </c>
      <c r="O37" s="19">
        <f t="shared" si="25"/>
        <v>25256</v>
      </c>
      <c r="P37" s="19">
        <f t="shared" si="25"/>
        <v>98275</v>
      </c>
      <c r="Q37" s="19">
        <f t="shared" si="25"/>
        <v>98294</v>
      </c>
      <c r="R37" s="19">
        <f t="shared" si="25"/>
        <v>98314</v>
      </c>
      <c r="S37" s="19">
        <f t="shared" si="25"/>
        <v>98334</v>
      </c>
      <c r="T37" s="19">
        <f t="shared" si="25"/>
        <v>98354.32</v>
      </c>
      <c r="U37" s="19">
        <f t="shared" si="25"/>
        <v>98376</v>
      </c>
      <c r="V37" s="19">
        <f t="shared" si="25"/>
        <v>96777</v>
      </c>
      <c r="W37" s="19">
        <f t="shared" si="25"/>
        <v>98298.94</v>
      </c>
      <c r="X37" s="19">
        <f t="shared" si="25"/>
        <v>0</v>
      </c>
      <c r="Y37" s="19">
        <f t="shared" si="25"/>
        <v>0</v>
      </c>
      <c r="Z37" s="19">
        <f t="shared" si="25"/>
        <v>0</v>
      </c>
      <c r="AA37" s="19">
        <f t="shared" si="25"/>
        <v>0</v>
      </c>
      <c r="AB37" s="19">
        <f t="shared" si="25"/>
        <v>0</v>
      </c>
      <c r="AC37" s="19">
        <f t="shared" si="25"/>
        <v>0</v>
      </c>
      <c r="AD37" s="19">
        <f t="shared" si="25"/>
        <v>0</v>
      </c>
      <c r="AE37" s="19">
        <f t="shared" si="25"/>
        <v>0</v>
      </c>
      <c r="AF37" s="19">
        <f t="shared" si="25"/>
        <v>0</v>
      </c>
      <c r="AG37" s="19">
        <f t="shared" si="25"/>
        <v>0</v>
      </c>
      <c r="AH37" s="19">
        <f t="shared" si="25"/>
        <v>0</v>
      </c>
      <c r="AI37" s="19">
        <f t="shared" si="25"/>
        <v>0</v>
      </c>
    </row>
    <row r="38" spans="1:35" x14ac:dyDescent="0.25">
      <c r="A38" s="11" t="s">
        <v>1042</v>
      </c>
      <c r="B38" s="12" t="s">
        <v>1044</v>
      </c>
      <c r="C38" s="19"/>
      <c r="D38" s="19">
        <f>+D103+D125</f>
        <v>0</v>
      </c>
      <c r="E38" s="19">
        <f t="shared" ref="E38:AI38" si="26">+E103+E125</f>
        <v>0</v>
      </c>
      <c r="F38" s="19">
        <f t="shared" si="26"/>
        <v>0</v>
      </c>
      <c r="G38" s="19">
        <f t="shared" si="26"/>
        <v>0</v>
      </c>
      <c r="H38" s="19">
        <f t="shared" si="26"/>
        <v>0</v>
      </c>
      <c r="I38" s="19">
        <f t="shared" si="26"/>
        <v>0</v>
      </c>
      <c r="J38" s="19">
        <f t="shared" si="26"/>
        <v>0</v>
      </c>
      <c r="K38" s="19">
        <f t="shared" si="26"/>
        <v>0</v>
      </c>
      <c r="L38" s="19">
        <f t="shared" si="26"/>
        <v>0</v>
      </c>
      <c r="M38" s="19">
        <f t="shared" si="26"/>
        <v>0</v>
      </c>
      <c r="N38" s="19">
        <f t="shared" si="26"/>
        <v>0</v>
      </c>
      <c r="O38" s="19">
        <f t="shared" si="26"/>
        <v>0</v>
      </c>
      <c r="P38" s="19">
        <f t="shared" si="26"/>
        <v>0</v>
      </c>
      <c r="Q38" s="19">
        <f t="shared" si="26"/>
        <v>0</v>
      </c>
      <c r="R38" s="19">
        <f t="shared" si="26"/>
        <v>0</v>
      </c>
      <c r="S38" s="19">
        <f t="shared" si="26"/>
        <v>0</v>
      </c>
      <c r="T38" s="19">
        <f t="shared" si="26"/>
        <v>0</v>
      </c>
      <c r="U38" s="19">
        <f t="shared" si="26"/>
        <v>0</v>
      </c>
      <c r="V38" s="19">
        <f t="shared" si="26"/>
        <v>0</v>
      </c>
      <c r="W38" s="19">
        <f t="shared" si="26"/>
        <v>0</v>
      </c>
      <c r="X38" s="19">
        <f t="shared" si="26"/>
        <v>0</v>
      </c>
      <c r="Y38" s="19">
        <f t="shared" si="26"/>
        <v>0</v>
      </c>
      <c r="Z38" s="19">
        <f t="shared" si="26"/>
        <v>0</v>
      </c>
      <c r="AA38" s="19">
        <f t="shared" si="26"/>
        <v>0</v>
      </c>
      <c r="AB38" s="19">
        <f t="shared" si="26"/>
        <v>0</v>
      </c>
      <c r="AC38" s="19">
        <f t="shared" si="26"/>
        <v>0</v>
      </c>
      <c r="AD38" s="19">
        <f t="shared" si="26"/>
        <v>0</v>
      </c>
      <c r="AE38" s="19">
        <f t="shared" si="26"/>
        <v>0</v>
      </c>
      <c r="AF38" s="19">
        <f t="shared" si="26"/>
        <v>0</v>
      </c>
      <c r="AG38" s="19">
        <f t="shared" si="26"/>
        <v>0</v>
      </c>
      <c r="AH38" s="19">
        <f t="shared" si="26"/>
        <v>0</v>
      </c>
      <c r="AI38" s="19">
        <f t="shared" si="26"/>
        <v>0</v>
      </c>
    </row>
    <row r="39" spans="1:35" x14ac:dyDescent="0.25">
      <c r="A39" s="11" t="s">
        <v>1043</v>
      </c>
      <c r="B39" s="12" t="s">
        <v>1045</v>
      </c>
      <c r="C39" s="19"/>
      <c r="D39" s="19">
        <f>+D104+D126</f>
        <v>0</v>
      </c>
      <c r="E39" s="19">
        <f t="shared" ref="E39:AI39" si="27">+E104+E126</f>
        <v>0</v>
      </c>
      <c r="F39" s="19">
        <f t="shared" si="27"/>
        <v>0</v>
      </c>
      <c r="G39" s="19">
        <f t="shared" si="27"/>
        <v>0</v>
      </c>
      <c r="H39" s="19">
        <f t="shared" si="27"/>
        <v>0</v>
      </c>
      <c r="I39" s="19">
        <f t="shared" si="27"/>
        <v>0</v>
      </c>
      <c r="J39" s="19">
        <f t="shared" si="27"/>
        <v>0</v>
      </c>
      <c r="K39" s="19">
        <f t="shared" si="27"/>
        <v>0</v>
      </c>
      <c r="L39" s="19">
        <f t="shared" si="27"/>
        <v>0</v>
      </c>
      <c r="M39" s="19">
        <f t="shared" si="27"/>
        <v>0</v>
      </c>
      <c r="N39" s="19">
        <f t="shared" si="27"/>
        <v>0</v>
      </c>
      <c r="O39" s="19">
        <f t="shared" si="27"/>
        <v>0</v>
      </c>
      <c r="P39" s="19">
        <f t="shared" si="27"/>
        <v>0</v>
      </c>
      <c r="Q39" s="19">
        <f t="shared" si="27"/>
        <v>0</v>
      </c>
      <c r="R39" s="19">
        <f t="shared" si="27"/>
        <v>0</v>
      </c>
      <c r="S39" s="19">
        <f t="shared" si="27"/>
        <v>0</v>
      </c>
      <c r="T39" s="19">
        <f t="shared" si="27"/>
        <v>0</v>
      </c>
      <c r="U39" s="19">
        <f t="shared" si="27"/>
        <v>0</v>
      </c>
      <c r="V39" s="19">
        <f t="shared" si="27"/>
        <v>0</v>
      </c>
      <c r="W39" s="19">
        <f t="shared" si="27"/>
        <v>0</v>
      </c>
      <c r="X39" s="19">
        <f t="shared" si="27"/>
        <v>0</v>
      </c>
      <c r="Y39" s="19">
        <f t="shared" si="27"/>
        <v>0</v>
      </c>
      <c r="Z39" s="19">
        <f t="shared" si="27"/>
        <v>0</v>
      </c>
      <c r="AA39" s="19">
        <f t="shared" si="27"/>
        <v>0</v>
      </c>
      <c r="AB39" s="19">
        <f t="shared" si="27"/>
        <v>0</v>
      </c>
      <c r="AC39" s="19">
        <f t="shared" si="27"/>
        <v>0</v>
      </c>
      <c r="AD39" s="19">
        <f t="shared" si="27"/>
        <v>0</v>
      </c>
      <c r="AE39" s="19">
        <f t="shared" si="27"/>
        <v>0</v>
      </c>
      <c r="AF39" s="19">
        <f t="shared" si="27"/>
        <v>0</v>
      </c>
      <c r="AG39" s="19">
        <f t="shared" si="27"/>
        <v>0</v>
      </c>
      <c r="AH39" s="19">
        <f t="shared" si="27"/>
        <v>0</v>
      </c>
      <c r="AI39" s="19">
        <f t="shared" si="27"/>
        <v>0</v>
      </c>
    </row>
    <row r="40" spans="1:35" x14ac:dyDescent="0.25">
      <c r="A40" s="11" t="s">
        <v>1106</v>
      </c>
      <c r="B40" s="12" t="s">
        <v>1102</v>
      </c>
      <c r="C40" s="19"/>
      <c r="D40" s="19">
        <f>+D105+D127</f>
        <v>0</v>
      </c>
      <c r="E40" s="19">
        <f t="shared" ref="E40:AI40" si="28">+E105+E127</f>
        <v>0</v>
      </c>
      <c r="F40" s="19">
        <f t="shared" si="28"/>
        <v>0</v>
      </c>
      <c r="G40" s="19">
        <f t="shared" si="28"/>
        <v>0</v>
      </c>
      <c r="H40" s="19">
        <f t="shared" si="28"/>
        <v>0</v>
      </c>
      <c r="I40" s="19">
        <f t="shared" si="28"/>
        <v>0</v>
      </c>
      <c r="J40" s="19">
        <f t="shared" si="28"/>
        <v>0</v>
      </c>
      <c r="K40" s="19">
        <f t="shared" si="28"/>
        <v>0</v>
      </c>
      <c r="L40" s="19">
        <f t="shared" si="28"/>
        <v>0</v>
      </c>
      <c r="M40" s="19">
        <f t="shared" si="28"/>
        <v>0</v>
      </c>
      <c r="N40" s="19">
        <f t="shared" si="28"/>
        <v>0</v>
      </c>
      <c r="O40" s="19">
        <f t="shared" si="28"/>
        <v>0</v>
      </c>
      <c r="P40" s="19">
        <f t="shared" si="28"/>
        <v>0</v>
      </c>
      <c r="Q40" s="19">
        <f t="shared" si="28"/>
        <v>0</v>
      </c>
      <c r="R40" s="19">
        <f t="shared" si="28"/>
        <v>0</v>
      </c>
      <c r="S40" s="19">
        <f t="shared" si="28"/>
        <v>0</v>
      </c>
      <c r="T40" s="19">
        <f t="shared" si="28"/>
        <v>0</v>
      </c>
      <c r="U40" s="19">
        <f t="shared" si="28"/>
        <v>0</v>
      </c>
      <c r="V40" s="19">
        <f t="shared" si="28"/>
        <v>0</v>
      </c>
      <c r="W40" s="19">
        <f t="shared" si="28"/>
        <v>0</v>
      </c>
      <c r="X40" s="19">
        <f t="shared" si="28"/>
        <v>0</v>
      </c>
      <c r="Y40" s="19">
        <f t="shared" si="28"/>
        <v>0</v>
      </c>
      <c r="Z40" s="19">
        <f t="shared" si="28"/>
        <v>0</v>
      </c>
      <c r="AA40" s="19">
        <f t="shared" si="28"/>
        <v>0</v>
      </c>
      <c r="AB40" s="19">
        <f t="shared" si="28"/>
        <v>0</v>
      </c>
      <c r="AC40" s="19">
        <f t="shared" si="28"/>
        <v>0</v>
      </c>
      <c r="AD40" s="19">
        <f t="shared" si="28"/>
        <v>0</v>
      </c>
      <c r="AE40" s="19">
        <f t="shared" si="28"/>
        <v>0</v>
      </c>
      <c r="AF40" s="19">
        <f t="shared" si="28"/>
        <v>0</v>
      </c>
      <c r="AG40" s="19">
        <f t="shared" si="28"/>
        <v>0</v>
      </c>
      <c r="AH40" s="19">
        <f t="shared" si="28"/>
        <v>0</v>
      </c>
      <c r="AI40" s="19">
        <f t="shared" si="28"/>
        <v>0</v>
      </c>
    </row>
    <row r="41" spans="1:35" x14ac:dyDescent="0.25">
      <c r="A41" s="11" t="s">
        <v>1109</v>
      </c>
      <c r="B41" s="12" t="s">
        <v>1105</v>
      </c>
      <c r="C41" s="19"/>
      <c r="D41" s="19">
        <f>+D106+D128</f>
        <v>5000</v>
      </c>
      <c r="E41" s="19">
        <f t="shared" ref="E41:AI41" si="29">+E106+E128</f>
        <v>0</v>
      </c>
      <c r="F41" s="19">
        <f t="shared" si="29"/>
        <v>0</v>
      </c>
      <c r="G41" s="19">
        <f t="shared" si="29"/>
        <v>0</v>
      </c>
      <c r="H41" s="19">
        <f t="shared" si="29"/>
        <v>0</v>
      </c>
      <c r="I41" s="19">
        <f t="shared" si="29"/>
        <v>0</v>
      </c>
      <c r="J41" s="19">
        <f t="shared" si="29"/>
        <v>0</v>
      </c>
      <c r="K41" s="19">
        <f t="shared" si="29"/>
        <v>0</v>
      </c>
      <c r="L41" s="19">
        <f t="shared" si="29"/>
        <v>0</v>
      </c>
      <c r="M41" s="19">
        <f t="shared" si="29"/>
        <v>0</v>
      </c>
      <c r="N41" s="19">
        <f t="shared" si="29"/>
        <v>0</v>
      </c>
      <c r="O41" s="19">
        <f t="shared" si="29"/>
        <v>0</v>
      </c>
      <c r="P41" s="19">
        <f t="shared" si="29"/>
        <v>0</v>
      </c>
      <c r="Q41" s="19">
        <f t="shared" si="29"/>
        <v>0</v>
      </c>
      <c r="R41" s="19">
        <f t="shared" si="29"/>
        <v>0</v>
      </c>
      <c r="S41" s="19">
        <f t="shared" si="29"/>
        <v>0</v>
      </c>
      <c r="T41" s="19">
        <f t="shared" si="29"/>
        <v>0</v>
      </c>
      <c r="U41" s="19">
        <f t="shared" si="29"/>
        <v>0</v>
      </c>
      <c r="V41" s="19">
        <f t="shared" si="29"/>
        <v>0</v>
      </c>
      <c r="W41" s="19">
        <f t="shared" si="29"/>
        <v>0</v>
      </c>
      <c r="X41" s="19">
        <f t="shared" si="29"/>
        <v>0</v>
      </c>
      <c r="Y41" s="19">
        <f t="shared" si="29"/>
        <v>0</v>
      </c>
      <c r="Z41" s="19">
        <f t="shared" si="29"/>
        <v>0</v>
      </c>
      <c r="AA41" s="19">
        <f t="shared" si="29"/>
        <v>0</v>
      </c>
      <c r="AB41" s="19">
        <f t="shared" si="29"/>
        <v>0</v>
      </c>
      <c r="AC41" s="19">
        <f t="shared" si="29"/>
        <v>0</v>
      </c>
      <c r="AD41" s="19">
        <f t="shared" si="29"/>
        <v>0</v>
      </c>
      <c r="AE41" s="19">
        <f t="shared" si="29"/>
        <v>0</v>
      </c>
      <c r="AF41" s="19">
        <f t="shared" si="29"/>
        <v>0</v>
      </c>
      <c r="AG41" s="19">
        <f t="shared" si="29"/>
        <v>0</v>
      </c>
      <c r="AH41" s="19">
        <f t="shared" si="29"/>
        <v>0</v>
      </c>
      <c r="AI41" s="19">
        <f t="shared" si="29"/>
        <v>0</v>
      </c>
    </row>
    <row r="42" spans="1:35" ht="13.8" thickBot="1" x14ac:dyDescent="0.3">
      <c r="A42" s="28"/>
      <c r="B42" s="29"/>
      <c r="C42" s="19"/>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row>
    <row r="43" spans="1:35" ht="13.8" thickBot="1" x14ac:dyDescent="0.3">
      <c r="A43" s="28"/>
      <c r="B43" s="29" t="s">
        <v>1047</v>
      </c>
      <c r="C43" s="19"/>
      <c r="D43" s="576">
        <f t="shared" ref="D43:AI43" si="30">SUM(D28:D42)</f>
        <v>430137</v>
      </c>
      <c r="E43" s="576">
        <f t="shared" si="30"/>
        <v>423915</v>
      </c>
      <c r="F43" s="576">
        <f t="shared" si="30"/>
        <v>414961</v>
      </c>
      <c r="G43" s="576">
        <f t="shared" si="30"/>
        <v>410253</v>
      </c>
      <c r="H43" s="576">
        <f t="shared" si="30"/>
        <v>400854</v>
      </c>
      <c r="I43" s="576">
        <f t="shared" si="30"/>
        <v>376671</v>
      </c>
      <c r="J43" s="576">
        <f t="shared" si="30"/>
        <v>373495</v>
      </c>
      <c r="K43" s="576">
        <f t="shared" si="30"/>
        <v>374845</v>
      </c>
      <c r="L43" s="576">
        <f t="shared" si="30"/>
        <v>371152</v>
      </c>
      <c r="M43" s="576">
        <f t="shared" si="30"/>
        <v>327057</v>
      </c>
      <c r="N43" s="576">
        <f t="shared" si="30"/>
        <v>327916</v>
      </c>
      <c r="O43" s="576">
        <f t="shared" si="30"/>
        <v>250546</v>
      </c>
      <c r="P43" s="576">
        <f t="shared" si="30"/>
        <v>324137</v>
      </c>
      <c r="Q43" s="576">
        <f t="shared" si="30"/>
        <v>324261</v>
      </c>
      <c r="R43" s="576">
        <f t="shared" si="30"/>
        <v>324142</v>
      </c>
      <c r="S43" s="576">
        <f t="shared" si="30"/>
        <v>323775</v>
      </c>
      <c r="T43" s="576">
        <f t="shared" si="30"/>
        <v>208162.32</v>
      </c>
      <c r="U43" s="576">
        <f t="shared" si="30"/>
        <v>206901</v>
      </c>
      <c r="V43" s="576">
        <f t="shared" si="30"/>
        <v>203967</v>
      </c>
      <c r="W43" s="576">
        <f t="shared" si="30"/>
        <v>204101.94</v>
      </c>
      <c r="X43" s="576">
        <f t="shared" si="30"/>
        <v>50588</v>
      </c>
      <c r="Y43" s="576">
        <f t="shared" si="30"/>
        <v>49168</v>
      </c>
      <c r="Z43" s="576">
        <f t="shared" si="30"/>
        <v>47689</v>
      </c>
      <c r="AA43" s="576">
        <f t="shared" si="30"/>
        <v>46150</v>
      </c>
      <c r="AB43" s="576">
        <f t="shared" si="30"/>
        <v>44547</v>
      </c>
      <c r="AC43" s="576">
        <f t="shared" si="30"/>
        <v>42878</v>
      </c>
      <c r="AD43" s="576">
        <f t="shared" si="30"/>
        <v>41141</v>
      </c>
      <c r="AE43" s="576">
        <f t="shared" si="30"/>
        <v>39227</v>
      </c>
      <c r="AF43" s="576">
        <f t="shared" si="30"/>
        <v>3992</v>
      </c>
      <c r="AG43" s="576">
        <f t="shared" si="30"/>
        <v>2030</v>
      </c>
      <c r="AH43" s="576">
        <f t="shared" si="30"/>
        <v>0</v>
      </c>
      <c r="AI43" s="576">
        <f t="shared" si="30"/>
        <v>0</v>
      </c>
    </row>
    <row r="44" spans="1:35" ht="13.8" thickBot="1" x14ac:dyDescent="0.3">
      <c r="A44" s="28"/>
      <c r="B44" s="29"/>
      <c r="C44" s="19"/>
      <c r="D44" s="578"/>
      <c r="E44" s="578"/>
      <c r="F44" s="578"/>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8"/>
      <c r="AI44" s="578"/>
    </row>
    <row r="45" spans="1:35" ht="14.4" thickTop="1" thickBot="1" x14ac:dyDescent="0.3">
      <c r="A45" s="28"/>
      <c r="B45" s="29" t="s">
        <v>1128</v>
      </c>
      <c r="C45" s="19"/>
      <c r="D45" s="579">
        <f>+D43+D24</f>
        <v>1239023</v>
      </c>
      <c r="E45" s="579">
        <f t="shared" ref="E45:AI45" si="31">+E43+E24</f>
        <v>1219411</v>
      </c>
      <c r="F45" s="579">
        <f t="shared" si="31"/>
        <v>1166021</v>
      </c>
      <c r="G45" s="579">
        <f t="shared" si="31"/>
        <v>1131807</v>
      </c>
      <c r="H45" s="579">
        <f t="shared" si="31"/>
        <v>1058059</v>
      </c>
      <c r="I45" s="579">
        <f t="shared" si="31"/>
        <v>1030560</v>
      </c>
      <c r="J45" s="579">
        <f t="shared" si="31"/>
        <v>1023429</v>
      </c>
      <c r="K45" s="579">
        <f t="shared" si="31"/>
        <v>1019355</v>
      </c>
      <c r="L45" s="579">
        <f t="shared" si="31"/>
        <v>911055</v>
      </c>
      <c r="M45" s="579">
        <f t="shared" si="31"/>
        <v>840208</v>
      </c>
      <c r="N45" s="579">
        <f t="shared" si="31"/>
        <v>421609</v>
      </c>
      <c r="O45" s="579">
        <f t="shared" si="31"/>
        <v>344010</v>
      </c>
      <c r="P45" s="579">
        <f t="shared" si="31"/>
        <v>417367</v>
      </c>
      <c r="Q45" s="579">
        <f t="shared" si="31"/>
        <v>417247</v>
      </c>
      <c r="R45" s="579">
        <f t="shared" si="31"/>
        <v>416879</v>
      </c>
      <c r="S45" s="579">
        <f t="shared" si="31"/>
        <v>408003</v>
      </c>
      <c r="T45" s="579">
        <f t="shared" si="31"/>
        <v>287141.32</v>
      </c>
      <c r="U45" s="579">
        <f t="shared" si="31"/>
        <v>285830</v>
      </c>
      <c r="V45" s="579">
        <f t="shared" si="31"/>
        <v>282844</v>
      </c>
      <c r="W45" s="579">
        <f t="shared" si="31"/>
        <v>282925.94</v>
      </c>
      <c r="X45" s="579">
        <f t="shared" si="31"/>
        <v>93511</v>
      </c>
      <c r="Y45" s="579">
        <f t="shared" si="31"/>
        <v>92091</v>
      </c>
      <c r="Z45" s="579">
        <f t="shared" si="31"/>
        <v>90613</v>
      </c>
      <c r="AA45" s="579">
        <f t="shared" si="31"/>
        <v>89073</v>
      </c>
      <c r="AB45" s="579">
        <f t="shared" si="31"/>
        <v>87471</v>
      </c>
      <c r="AC45" s="579">
        <f t="shared" si="31"/>
        <v>85801</v>
      </c>
      <c r="AD45" s="579">
        <f t="shared" si="31"/>
        <v>84064</v>
      </c>
      <c r="AE45" s="579">
        <f t="shared" si="31"/>
        <v>82081</v>
      </c>
      <c r="AF45" s="579">
        <f t="shared" si="31"/>
        <v>24613</v>
      </c>
      <c r="AG45" s="579">
        <f t="shared" si="31"/>
        <v>22527</v>
      </c>
      <c r="AH45" s="579">
        <f t="shared" si="31"/>
        <v>0</v>
      </c>
      <c r="AI45" s="579">
        <f t="shared" si="31"/>
        <v>0</v>
      </c>
    </row>
    <row r="46" spans="1:35" ht="13.8" thickTop="1" x14ac:dyDescent="0.25">
      <c r="A46" s="28"/>
      <c r="B46" s="2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row>
    <row r="47" spans="1:35" x14ac:dyDescent="0.25">
      <c r="A47" s="572"/>
      <c r="B47" s="573"/>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row>
    <row r="48" spans="1:35" x14ac:dyDescent="0.25">
      <c r="A48" s="28"/>
      <c r="B48" s="2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row>
    <row r="49" spans="1:35" x14ac:dyDescent="0.25">
      <c r="A49" s="28"/>
      <c r="B49" s="29" t="s">
        <v>1118</v>
      </c>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row>
    <row r="50" spans="1:35" x14ac:dyDescent="0.25">
      <c r="A50" s="11">
        <v>5910</v>
      </c>
      <c r="B50" s="12" t="s">
        <v>227</v>
      </c>
      <c r="C50" s="38">
        <v>35000</v>
      </c>
      <c r="D50" s="38">
        <v>35000</v>
      </c>
      <c r="E50" s="38">
        <v>35000</v>
      </c>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row>
    <row r="51" spans="1:35" x14ac:dyDescent="0.25">
      <c r="A51" s="11">
        <v>5916</v>
      </c>
      <c r="B51" s="12" t="s">
        <v>394</v>
      </c>
      <c r="C51" s="14">
        <f>15000+10000</f>
        <v>25000</v>
      </c>
      <c r="D51" s="14">
        <f>10000+10000</f>
        <v>20000</v>
      </c>
      <c r="E51" s="14">
        <f>10000+10000</f>
        <v>20000</v>
      </c>
      <c r="F51" s="14">
        <f t="shared" ref="F51:L51" si="32">5000+10000</f>
        <v>15000</v>
      </c>
      <c r="G51" s="14">
        <f t="shared" si="32"/>
        <v>15000</v>
      </c>
      <c r="H51" s="14">
        <f t="shared" si="32"/>
        <v>15000</v>
      </c>
      <c r="I51" s="14">
        <f t="shared" si="32"/>
        <v>15000</v>
      </c>
      <c r="J51" s="14">
        <f t="shared" si="32"/>
        <v>15000</v>
      </c>
      <c r="K51" s="14">
        <f t="shared" si="32"/>
        <v>15000</v>
      </c>
      <c r="L51" s="14">
        <f t="shared" si="32"/>
        <v>15000</v>
      </c>
      <c r="M51" s="14"/>
      <c r="N51" s="14"/>
      <c r="O51" s="14"/>
      <c r="P51" s="14"/>
      <c r="Q51" s="14"/>
      <c r="R51" s="14"/>
      <c r="S51" s="14"/>
      <c r="T51" s="14"/>
      <c r="U51" s="14"/>
      <c r="V51" s="14"/>
      <c r="W51" s="14"/>
      <c r="X51" s="14"/>
      <c r="Y51" s="14"/>
      <c r="Z51" s="14"/>
      <c r="AA51" s="14"/>
      <c r="AB51" s="14"/>
      <c r="AC51" s="14"/>
      <c r="AD51" s="14"/>
      <c r="AE51" s="14"/>
      <c r="AF51" s="14"/>
      <c r="AG51" s="14"/>
      <c r="AH51" s="14"/>
      <c r="AI51" s="14"/>
    </row>
    <row r="52" spans="1:35" x14ac:dyDescent="0.25">
      <c r="A52" s="11">
        <v>5920</v>
      </c>
      <c r="B52" s="12" t="s">
        <v>941</v>
      </c>
      <c r="C52" s="14">
        <v>255000</v>
      </c>
      <c r="D52" s="14">
        <v>265000</v>
      </c>
      <c r="E52" s="14">
        <v>275000</v>
      </c>
      <c r="F52" s="14">
        <v>290000</v>
      </c>
      <c r="G52" s="14">
        <v>300000</v>
      </c>
      <c r="H52" s="14">
        <v>315000</v>
      </c>
      <c r="I52" s="14">
        <v>330000</v>
      </c>
      <c r="J52" s="14">
        <v>345000</v>
      </c>
      <c r="K52" s="14">
        <v>360000</v>
      </c>
      <c r="L52" s="14">
        <v>375000</v>
      </c>
      <c r="M52" s="14">
        <v>405000</v>
      </c>
      <c r="N52" s="14"/>
      <c r="O52" s="14"/>
      <c r="P52" s="14"/>
      <c r="Q52" s="14"/>
      <c r="R52" s="14"/>
      <c r="S52" s="14"/>
      <c r="T52" s="14"/>
      <c r="U52" s="14"/>
      <c r="V52" s="14"/>
      <c r="W52" s="14"/>
      <c r="X52" s="14"/>
      <c r="Y52" s="14"/>
      <c r="Z52" s="14"/>
      <c r="AA52" s="14"/>
      <c r="AB52" s="14"/>
      <c r="AC52" s="14"/>
      <c r="AD52" s="14"/>
      <c r="AE52" s="14"/>
      <c r="AF52" s="14"/>
      <c r="AG52" s="14"/>
      <c r="AH52" s="14"/>
      <c r="AI52" s="14"/>
    </row>
    <row r="53" spans="1:35" x14ac:dyDescent="0.25">
      <c r="A53" s="11">
        <v>5930</v>
      </c>
      <c r="B53" s="110" t="s">
        <v>36</v>
      </c>
      <c r="C53" s="122">
        <f>+C151</f>
        <v>19246</v>
      </c>
      <c r="D53" s="122">
        <f t="shared" ref="D53:AI56" si="33">+D151</f>
        <v>19635</v>
      </c>
      <c r="E53" s="122">
        <f t="shared" si="33"/>
        <v>20032</v>
      </c>
      <c r="F53" s="122">
        <f t="shared" si="33"/>
        <v>20760</v>
      </c>
      <c r="G53" s="122">
        <f t="shared" si="33"/>
        <v>20849</v>
      </c>
      <c r="H53" s="122">
        <f t="shared" si="33"/>
        <v>21270</v>
      </c>
      <c r="I53" s="122">
        <f t="shared" si="33"/>
        <v>21700</v>
      </c>
      <c r="J53" s="122">
        <f t="shared" si="33"/>
        <v>22138</v>
      </c>
      <c r="K53" s="122">
        <f t="shared" si="33"/>
        <v>22586</v>
      </c>
      <c r="L53" s="122">
        <f t="shared" si="33"/>
        <v>23042</v>
      </c>
      <c r="M53" s="122">
        <f t="shared" si="33"/>
        <v>0</v>
      </c>
      <c r="N53" s="122">
        <f t="shared" si="33"/>
        <v>0</v>
      </c>
      <c r="O53" s="122">
        <f t="shared" si="33"/>
        <v>0</v>
      </c>
      <c r="P53" s="122">
        <f t="shared" si="33"/>
        <v>0</v>
      </c>
      <c r="Q53" s="122">
        <f t="shared" si="33"/>
        <v>0</v>
      </c>
      <c r="R53" s="122">
        <f t="shared" si="33"/>
        <v>0</v>
      </c>
      <c r="S53" s="122">
        <f t="shared" si="33"/>
        <v>0</v>
      </c>
      <c r="T53" s="122">
        <f t="shared" si="33"/>
        <v>0</v>
      </c>
      <c r="U53" s="122">
        <f t="shared" si="33"/>
        <v>0</v>
      </c>
      <c r="V53" s="122">
        <f t="shared" si="33"/>
        <v>0</v>
      </c>
      <c r="W53" s="122">
        <f t="shared" si="33"/>
        <v>0</v>
      </c>
      <c r="X53" s="122">
        <f t="shared" si="33"/>
        <v>0</v>
      </c>
      <c r="Y53" s="122">
        <f t="shared" si="33"/>
        <v>0</v>
      </c>
      <c r="Z53" s="122">
        <f t="shared" si="33"/>
        <v>0</v>
      </c>
      <c r="AA53" s="122">
        <f t="shared" si="33"/>
        <v>0</v>
      </c>
      <c r="AB53" s="122">
        <f t="shared" si="33"/>
        <v>0</v>
      </c>
      <c r="AC53" s="122">
        <f t="shared" si="33"/>
        <v>0</v>
      </c>
      <c r="AD53" s="122">
        <f t="shared" si="33"/>
        <v>0</v>
      </c>
      <c r="AE53" s="122">
        <f t="shared" si="33"/>
        <v>0</v>
      </c>
      <c r="AF53" s="122">
        <f t="shared" si="33"/>
        <v>0</v>
      </c>
      <c r="AG53" s="122">
        <f t="shared" si="33"/>
        <v>0</v>
      </c>
      <c r="AH53" s="122">
        <f t="shared" si="33"/>
        <v>0</v>
      </c>
      <c r="AI53" s="122">
        <f t="shared" si="33"/>
        <v>0</v>
      </c>
    </row>
    <row r="54" spans="1:35" x14ac:dyDescent="0.25">
      <c r="A54" s="11">
        <v>5931</v>
      </c>
      <c r="B54" s="63" t="s">
        <v>37</v>
      </c>
      <c r="C54" s="122">
        <f>+C152</f>
        <v>21872</v>
      </c>
      <c r="D54" s="122">
        <f t="shared" ref="D54:R54" si="34">+D152</f>
        <v>22406</v>
      </c>
      <c r="E54" s="122">
        <f t="shared" si="34"/>
        <v>22954</v>
      </c>
      <c r="F54" s="122">
        <f t="shared" si="34"/>
        <v>23514</v>
      </c>
      <c r="G54" s="122">
        <f t="shared" si="34"/>
        <v>24089</v>
      </c>
      <c r="H54" s="122">
        <f t="shared" si="34"/>
        <v>24678</v>
      </c>
      <c r="I54" s="122">
        <f t="shared" si="34"/>
        <v>25281</v>
      </c>
      <c r="J54" s="122">
        <f t="shared" si="34"/>
        <v>25898</v>
      </c>
      <c r="K54" s="122">
        <f t="shared" si="34"/>
        <v>26531</v>
      </c>
      <c r="L54" s="122">
        <f t="shared" si="34"/>
        <v>27180</v>
      </c>
      <c r="M54" s="122">
        <f t="shared" si="34"/>
        <v>27844</v>
      </c>
      <c r="N54" s="122">
        <f t="shared" si="34"/>
        <v>28524</v>
      </c>
      <c r="O54" s="122">
        <f t="shared" si="34"/>
        <v>29221</v>
      </c>
      <c r="P54" s="122">
        <f t="shared" si="34"/>
        <v>29935</v>
      </c>
      <c r="Q54" s="122">
        <f t="shared" si="34"/>
        <v>30667</v>
      </c>
      <c r="R54" s="122">
        <f t="shared" si="34"/>
        <v>31416</v>
      </c>
      <c r="S54" s="122">
        <f t="shared" si="33"/>
        <v>32184</v>
      </c>
      <c r="T54" s="122">
        <f t="shared" si="33"/>
        <v>32970</v>
      </c>
      <c r="U54" s="122">
        <f t="shared" si="33"/>
        <v>33776</v>
      </c>
      <c r="V54" s="122">
        <f t="shared" si="33"/>
        <v>34601</v>
      </c>
      <c r="W54" s="122">
        <f t="shared" si="33"/>
        <v>35446</v>
      </c>
      <c r="X54" s="122">
        <f t="shared" si="33"/>
        <v>0</v>
      </c>
      <c r="Y54" s="122">
        <f t="shared" si="33"/>
        <v>0</v>
      </c>
      <c r="Z54" s="122">
        <f t="shared" si="33"/>
        <v>0</v>
      </c>
      <c r="AA54" s="122">
        <f t="shared" si="33"/>
        <v>0</v>
      </c>
      <c r="AB54" s="122">
        <f t="shared" si="33"/>
        <v>0</v>
      </c>
      <c r="AC54" s="122">
        <f t="shared" si="33"/>
        <v>0</v>
      </c>
      <c r="AD54" s="122">
        <f t="shared" si="33"/>
        <v>0</v>
      </c>
      <c r="AE54" s="122">
        <f t="shared" si="33"/>
        <v>0</v>
      </c>
      <c r="AF54" s="122">
        <f t="shared" si="33"/>
        <v>0</v>
      </c>
      <c r="AG54" s="122">
        <f t="shared" si="33"/>
        <v>0</v>
      </c>
      <c r="AH54" s="122">
        <f t="shared" si="33"/>
        <v>0</v>
      </c>
      <c r="AI54" s="122">
        <f t="shared" si="33"/>
        <v>0</v>
      </c>
    </row>
    <row r="55" spans="1:35" x14ac:dyDescent="0.25">
      <c r="A55" s="11">
        <v>5932</v>
      </c>
      <c r="B55" s="63" t="s">
        <v>38</v>
      </c>
      <c r="C55" s="122">
        <f>+C153</f>
        <v>6444</v>
      </c>
      <c r="D55" s="122">
        <f t="shared" si="33"/>
        <v>6726</v>
      </c>
      <c r="E55" s="122">
        <f t="shared" si="33"/>
        <v>7020</v>
      </c>
      <c r="F55" s="122">
        <f t="shared" si="33"/>
        <v>7327</v>
      </c>
      <c r="G55" s="122">
        <f t="shared" si="33"/>
        <v>7647</v>
      </c>
      <c r="H55" s="122">
        <f t="shared" si="33"/>
        <v>7982</v>
      </c>
      <c r="I55" s="122">
        <f t="shared" si="33"/>
        <v>8331</v>
      </c>
      <c r="J55" s="122">
        <f t="shared" si="33"/>
        <v>8696</v>
      </c>
      <c r="K55" s="122">
        <f t="shared" si="33"/>
        <v>9076</v>
      </c>
      <c r="L55" s="122">
        <f t="shared" si="33"/>
        <v>9473</v>
      </c>
      <c r="M55" s="122">
        <f t="shared" si="33"/>
        <v>9888</v>
      </c>
      <c r="N55" s="122">
        <f t="shared" si="33"/>
        <v>10320</v>
      </c>
      <c r="O55" s="122">
        <f t="shared" si="33"/>
        <v>10772</v>
      </c>
      <c r="P55" s="122">
        <f t="shared" si="33"/>
        <v>11243</v>
      </c>
      <c r="Q55" s="122">
        <f t="shared" si="33"/>
        <v>11735</v>
      </c>
      <c r="R55" s="122">
        <f t="shared" si="33"/>
        <v>12248</v>
      </c>
      <c r="S55" s="122">
        <f t="shared" si="33"/>
        <v>12784</v>
      </c>
      <c r="T55" s="122">
        <f t="shared" si="33"/>
        <v>13344</v>
      </c>
      <c r="U55" s="122">
        <f t="shared" si="33"/>
        <v>13927</v>
      </c>
      <c r="V55" s="122">
        <f t="shared" si="33"/>
        <v>14536</v>
      </c>
      <c r="W55" s="122">
        <f t="shared" si="33"/>
        <v>15172</v>
      </c>
      <c r="X55" s="122">
        <f t="shared" si="33"/>
        <v>15836</v>
      </c>
      <c r="Y55" s="122">
        <f t="shared" si="33"/>
        <v>16529</v>
      </c>
      <c r="Z55" s="122">
        <f t="shared" si="33"/>
        <v>17252</v>
      </c>
      <c r="AA55" s="122">
        <f t="shared" si="33"/>
        <v>18007</v>
      </c>
      <c r="AB55" s="122">
        <f t="shared" si="33"/>
        <v>18795</v>
      </c>
      <c r="AC55" s="122">
        <f t="shared" si="33"/>
        <v>19617</v>
      </c>
      <c r="AD55" s="122">
        <f t="shared" si="33"/>
        <v>20475</v>
      </c>
      <c r="AE55" s="122">
        <f t="shared" si="33"/>
        <v>21302</v>
      </c>
      <c r="AF55" s="122">
        <f t="shared" si="33"/>
        <v>0</v>
      </c>
      <c r="AG55" s="122">
        <f t="shared" si="33"/>
        <v>0</v>
      </c>
      <c r="AH55" s="122">
        <f t="shared" si="33"/>
        <v>0</v>
      </c>
      <c r="AI55" s="122">
        <f t="shared" si="33"/>
        <v>0</v>
      </c>
    </row>
    <row r="56" spans="1:35" x14ac:dyDescent="0.25">
      <c r="A56" s="11">
        <v>5933</v>
      </c>
      <c r="B56" s="63" t="s">
        <v>352</v>
      </c>
      <c r="C56" s="122">
        <f>+C154</f>
        <v>5891</v>
      </c>
      <c r="D56" s="122">
        <f t="shared" si="33"/>
        <v>6134</v>
      </c>
      <c r="E56" s="122">
        <f t="shared" si="33"/>
        <v>6387</v>
      </c>
      <c r="F56" s="122">
        <f t="shared" si="33"/>
        <v>6651</v>
      </c>
      <c r="G56" s="122">
        <f t="shared" si="33"/>
        <v>6925</v>
      </c>
      <c r="H56" s="122">
        <f t="shared" si="33"/>
        <v>7211</v>
      </c>
      <c r="I56" s="122">
        <f t="shared" si="33"/>
        <v>7508</v>
      </c>
      <c r="J56" s="122">
        <f t="shared" si="33"/>
        <v>7818</v>
      </c>
      <c r="K56" s="122">
        <f t="shared" si="33"/>
        <v>8140</v>
      </c>
      <c r="L56" s="122">
        <f t="shared" si="33"/>
        <v>8476</v>
      </c>
      <c r="M56" s="122">
        <f t="shared" si="33"/>
        <v>8826</v>
      </c>
      <c r="N56" s="122">
        <f t="shared" si="33"/>
        <v>9190</v>
      </c>
      <c r="O56" s="122">
        <f t="shared" si="33"/>
        <v>9569</v>
      </c>
      <c r="P56" s="122">
        <f t="shared" si="33"/>
        <v>9964</v>
      </c>
      <c r="Q56" s="122">
        <f t="shared" si="33"/>
        <v>10374</v>
      </c>
      <c r="R56" s="122">
        <f t="shared" si="33"/>
        <v>10802</v>
      </c>
      <c r="S56" s="122">
        <f t="shared" si="33"/>
        <v>11248</v>
      </c>
      <c r="T56" s="122">
        <f t="shared" si="33"/>
        <v>11712</v>
      </c>
      <c r="U56" s="122">
        <f t="shared" si="33"/>
        <v>12195</v>
      </c>
      <c r="V56" s="122">
        <f t="shared" si="33"/>
        <v>12698</v>
      </c>
      <c r="W56" s="122">
        <f t="shared" si="33"/>
        <v>13222</v>
      </c>
      <c r="X56" s="122">
        <f t="shared" si="33"/>
        <v>13767</v>
      </c>
      <c r="Y56" s="122">
        <f t="shared" si="33"/>
        <v>14335</v>
      </c>
      <c r="Z56" s="122">
        <f t="shared" si="33"/>
        <v>14927</v>
      </c>
      <c r="AA56" s="122">
        <f t="shared" si="33"/>
        <v>15542</v>
      </c>
      <c r="AB56" s="122">
        <f t="shared" si="33"/>
        <v>16184</v>
      </c>
      <c r="AC56" s="122">
        <f t="shared" si="33"/>
        <v>16851</v>
      </c>
      <c r="AD56" s="122">
        <f t="shared" si="33"/>
        <v>17546</v>
      </c>
      <c r="AE56" s="122">
        <f t="shared" si="33"/>
        <v>18270</v>
      </c>
      <c r="AF56" s="122">
        <f t="shared" si="33"/>
        <v>19024</v>
      </c>
      <c r="AG56" s="122">
        <f t="shared" si="33"/>
        <v>19685</v>
      </c>
      <c r="AH56" s="122">
        <f t="shared" si="33"/>
        <v>0</v>
      </c>
      <c r="AI56" s="122">
        <f t="shared" si="33"/>
        <v>0</v>
      </c>
    </row>
    <row r="57" spans="1:35" x14ac:dyDescent="0.25">
      <c r="A57" s="11">
        <v>5934</v>
      </c>
      <c r="B57" s="12" t="s">
        <v>683</v>
      </c>
      <c r="C57" s="125">
        <v>5000</v>
      </c>
      <c r="D57" s="125">
        <v>5000</v>
      </c>
      <c r="E57" s="125">
        <v>5000</v>
      </c>
      <c r="F57" s="125">
        <v>5000</v>
      </c>
      <c r="G57" s="125">
        <v>5000</v>
      </c>
      <c r="H57" s="125">
        <v>5000</v>
      </c>
      <c r="I57" s="125">
        <v>5000</v>
      </c>
      <c r="J57" s="125">
        <v>5000</v>
      </c>
      <c r="K57" s="125">
        <v>5000</v>
      </c>
      <c r="L57" s="125">
        <v>5000</v>
      </c>
      <c r="M57" s="125">
        <v>5000</v>
      </c>
      <c r="N57" s="38"/>
      <c r="O57" s="38"/>
      <c r="P57" s="38"/>
      <c r="Q57" s="38"/>
      <c r="R57" s="38"/>
      <c r="S57" s="38"/>
      <c r="T57" s="38"/>
      <c r="U57" s="38"/>
      <c r="V57" s="38"/>
      <c r="W57" s="38"/>
      <c r="X57" s="38"/>
      <c r="Y57" s="38"/>
      <c r="Z57" s="38"/>
      <c r="AA57" s="38"/>
      <c r="AB57" s="38"/>
      <c r="AC57" s="38"/>
      <c r="AD57" s="38"/>
      <c r="AE57" s="38"/>
      <c r="AF57" s="38"/>
      <c r="AG57" s="38"/>
      <c r="AH57" s="38"/>
      <c r="AI57" s="38"/>
    </row>
    <row r="58" spans="1:35" x14ac:dyDescent="0.25">
      <c r="A58" s="11">
        <v>5936</v>
      </c>
      <c r="B58" s="12" t="s">
        <v>732</v>
      </c>
      <c r="C58" s="38">
        <v>5618</v>
      </c>
      <c r="D58" s="38">
        <v>5758</v>
      </c>
      <c r="E58" s="38">
        <v>5902</v>
      </c>
      <c r="F58" s="38">
        <v>6050</v>
      </c>
      <c r="G58" s="38">
        <v>6201</v>
      </c>
      <c r="H58" s="38">
        <v>6356</v>
      </c>
      <c r="I58" s="38">
        <v>6515</v>
      </c>
      <c r="J58" s="38">
        <v>6678</v>
      </c>
      <c r="K58" s="38">
        <v>6845</v>
      </c>
      <c r="L58" s="38">
        <v>7016</v>
      </c>
      <c r="M58" s="38">
        <v>7191</v>
      </c>
      <c r="N58" s="38">
        <v>7371</v>
      </c>
      <c r="O58" s="38">
        <v>7555</v>
      </c>
      <c r="P58" s="38">
        <v>7744</v>
      </c>
      <c r="Q58" s="38">
        <v>7938</v>
      </c>
      <c r="R58" s="38">
        <v>8136</v>
      </c>
      <c r="S58" s="38"/>
      <c r="T58" s="38"/>
      <c r="U58" s="38"/>
      <c r="V58" s="38"/>
      <c r="W58" s="38"/>
      <c r="X58" s="38"/>
      <c r="Y58" s="38"/>
      <c r="Z58" s="38"/>
      <c r="AA58" s="38"/>
      <c r="AB58" s="38"/>
      <c r="AC58" s="38"/>
      <c r="AD58" s="38"/>
      <c r="AE58" s="38"/>
      <c r="AF58" s="38"/>
      <c r="AG58" s="38"/>
      <c r="AH58" s="38"/>
      <c r="AI58" s="38"/>
    </row>
    <row r="59" spans="1:35" x14ac:dyDescent="0.25">
      <c r="A59" s="28">
        <v>5937</v>
      </c>
      <c r="B59" s="12" t="s">
        <v>938</v>
      </c>
      <c r="C59" s="38">
        <v>5000</v>
      </c>
      <c r="D59" s="38">
        <v>5000</v>
      </c>
      <c r="E59" s="38">
        <v>5000</v>
      </c>
      <c r="F59" s="38">
        <v>5000</v>
      </c>
      <c r="G59" s="38">
        <v>5000</v>
      </c>
      <c r="H59" s="38">
        <v>5000</v>
      </c>
      <c r="I59" s="38">
        <v>5000</v>
      </c>
      <c r="J59" s="38">
        <v>5000</v>
      </c>
      <c r="K59" s="38">
        <v>5000</v>
      </c>
      <c r="L59" s="38">
        <v>5000</v>
      </c>
      <c r="M59" s="38">
        <v>5000</v>
      </c>
      <c r="N59" s="38">
        <v>5000</v>
      </c>
      <c r="O59" s="38">
        <v>5000</v>
      </c>
      <c r="P59" s="38">
        <v>5000</v>
      </c>
      <c r="Q59" s="38">
        <v>5000</v>
      </c>
      <c r="R59" s="38">
        <v>5000</v>
      </c>
      <c r="S59" s="38">
        <v>5000</v>
      </c>
      <c r="T59" s="38"/>
      <c r="U59" s="38"/>
      <c r="V59" s="38"/>
      <c r="W59" s="38"/>
      <c r="X59" s="38"/>
      <c r="Y59" s="38"/>
      <c r="Z59" s="38"/>
      <c r="AA59" s="38"/>
      <c r="AB59" s="38"/>
      <c r="AC59" s="38"/>
      <c r="AD59" s="38"/>
      <c r="AE59" s="38"/>
      <c r="AF59" s="38"/>
      <c r="AG59" s="38"/>
      <c r="AH59" s="38"/>
      <c r="AI59" s="38"/>
    </row>
    <row r="60" spans="1:35" x14ac:dyDescent="0.25">
      <c r="A60" s="28">
        <v>5938</v>
      </c>
      <c r="B60" s="12" t="s">
        <v>761</v>
      </c>
      <c r="C60" s="38"/>
      <c r="D60" s="38">
        <v>10000</v>
      </c>
      <c r="E60" s="38">
        <v>10000</v>
      </c>
      <c r="F60" s="38">
        <v>10000</v>
      </c>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row>
    <row r="61" spans="1:35" x14ac:dyDescent="0.25">
      <c r="A61" s="28">
        <v>5939</v>
      </c>
      <c r="B61" s="12" t="s">
        <v>762</v>
      </c>
      <c r="C61" s="38"/>
      <c r="D61" s="38">
        <v>10000</v>
      </c>
      <c r="E61" s="38">
        <v>10000</v>
      </c>
      <c r="F61" s="38">
        <v>10000</v>
      </c>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row>
    <row r="62" spans="1:35" x14ac:dyDescent="0.25">
      <c r="A62" s="28">
        <v>5944</v>
      </c>
      <c r="B62" s="12" t="s">
        <v>1046</v>
      </c>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row>
    <row r="63" spans="1:35" x14ac:dyDescent="0.25">
      <c r="A63" s="28">
        <v>5947</v>
      </c>
      <c r="B63" s="12" t="s">
        <v>1113</v>
      </c>
      <c r="C63" s="38"/>
      <c r="D63" s="38">
        <v>3100</v>
      </c>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row>
    <row r="64" spans="1:35" ht="13.8" thickBot="1" x14ac:dyDescent="0.3">
      <c r="A64" s="11"/>
      <c r="B64" s="12"/>
      <c r="C64" s="16"/>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row>
    <row r="65" spans="1:35" x14ac:dyDescent="0.25">
      <c r="A65" s="11"/>
      <c r="B65" s="12" t="s">
        <v>1126</v>
      </c>
      <c r="C65" s="19"/>
      <c r="D65" s="14">
        <f>ROUND((105000*0.93),0)</f>
        <v>97650</v>
      </c>
      <c r="E65" s="14">
        <f t="shared" ref="E65:K65" si="35">ROUND((105000*0.93),0)</f>
        <v>97650</v>
      </c>
      <c r="F65" s="14">
        <f t="shared" si="35"/>
        <v>97650</v>
      </c>
      <c r="G65" s="14">
        <f t="shared" si="35"/>
        <v>97650</v>
      </c>
      <c r="H65" s="14">
        <f t="shared" si="35"/>
        <v>97650</v>
      </c>
      <c r="I65" s="14">
        <f t="shared" si="35"/>
        <v>97650</v>
      </c>
      <c r="J65" s="14">
        <f t="shared" si="35"/>
        <v>97650</v>
      </c>
      <c r="K65" s="14">
        <f t="shared" si="35"/>
        <v>97650</v>
      </c>
      <c r="L65" s="14"/>
      <c r="M65" s="14"/>
      <c r="N65" s="14"/>
      <c r="O65" s="14"/>
      <c r="P65" s="14"/>
      <c r="Q65" s="14"/>
      <c r="R65" s="14"/>
      <c r="S65" s="14"/>
      <c r="T65" s="14"/>
      <c r="U65" s="14"/>
      <c r="V65" s="14"/>
      <c r="W65" s="14"/>
      <c r="X65" s="14"/>
      <c r="Y65" s="14"/>
      <c r="Z65" s="14"/>
      <c r="AA65" s="14"/>
      <c r="AB65" s="14"/>
      <c r="AC65" s="14"/>
      <c r="AD65" s="14"/>
      <c r="AE65" s="14"/>
      <c r="AF65" s="14"/>
      <c r="AG65" s="14"/>
      <c r="AH65" s="14"/>
      <c r="AI65" s="14"/>
    </row>
    <row r="66" spans="1:35" x14ac:dyDescent="0.25">
      <c r="A66" s="11"/>
      <c r="B66" s="12" t="s">
        <v>1127</v>
      </c>
      <c r="C66" s="19"/>
      <c r="D66" s="19">
        <v>60000</v>
      </c>
      <c r="E66" s="19">
        <v>60000</v>
      </c>
      <c r="F66" s="19">
        <v>60000</v>
      </c>
      <c r="G66" s="19">
        <v>60000</v>
      </c>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row>
    <row r="67" spans="1:35" x14ac:dyDescent="0.25">
      <c r="A67" s="11"/>
      <c r="B67" s="12"/>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row>
    <row r="68" spans="1:35" x14ac:dyDescent="0.25">
      <c r="A68" s="11"/>
      <c r="B68" s="12" t="s">
        <v>1119</v>
      </c>
      <c r="C68" s="170"/>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row>
    <row r="69" spans="1:35" x14ac:dyDescent="0.25">
      <c r="A69" s="11">
        <v>5910</v>
      </c>
      <c r="B69" s="12" t="s">
        <v>227</v>
      </c>
      <c r="C69" s="38">
        <f>2923+1960</f>
        <v>4883</v>
      </c>
      <c r="D69" s="38">
        <f>1960+980</f>
        <v>2940</v>
      </c>
      <c r="E69" s="38">
        <v>980</v>
      </c>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row>
    <row r="70" spans="1:35" x14ac:dyDescent="0.25">
      <c r="A70" s="11">
        <v>5916</v>
      </c>
      <c r="B70" s="12" t="s">
        <v>394</v>
      </c>
      <c r="C70" s="14">
        <f>1400+1100+2000+1800</f>
        <v>6300</v>
      </c>
      <c r="D70" s="14">
        <f>1100+900+1800+1600</f>
        <v>5400</v>
      </c>
      <c r="E70" s="14">
        <f>900+700+1600+1400</f>
        <v>4600</v>
      </c>
      <c r="F70" s="14">
        <f>700+600+1400+1200</f>
        <v>3900</v>
      </c>
      <c r="G70" s="14">
        <f>600+500+1200+1000</f>
        <v>3300</v>
      </c>
      <c r="H70" s="14">
        <f>500+400+1000+800</f>
        <v>2700</v>
      </c>
      <c r="I70" s="14">
        <f>400+300+800+600</f>
        <v>2100</v>
      </c>
      <c r="J70" s="14">
        <f>300+200+600+400</f>
        <v>1500</v>
      </c>
      <c r="K70" s="14">
        <f>200+100+400+200</f>
        <v>900</v>
      </c>
      <c r="L70" s="14">
        <f>100+200</f>
        <v>300</v>
      </c>
      <c r="M70" s="14"/>
      <c r="N70" s="14"/>
      <c r="O70" s="14"/>
      <c r="P70" s="14"/>
      <c r="Q70" s="14"/>
      <c r="R70" s="14"/>
      <c r="S70" s="14"/>
      <c r="T70" s="14"/>
      <c r="U70" s="14"/>
      <c r="V70" s="14"/>
      <c r="W70" s="14"/>
      <c r="X70" s="14"/>
      <c r="Y70" s="14"/>
      <c r="Z70" s="14"/>
      <c r="AA70" s="14"/>
      <c r="AB70" s="14"/>
      <c r="AC70" s="14"/>
      <c r="AD70" s="14"/>
      <c r="AE70" s="14"/>
      <c r="AF70" s="14"/>
      <c r="AG70" s="14"/>
      <c r="AH70" s="14"/>
      <c r="AI70" s="14"/>
    </row>
    <row r="71" spans="1:35" x14ac:dyDescent="0.25">
      <c r="A71" s="11">
        <v>5920</v>
      </c>
      <c r="B71" s="12" t="s">
        <v>941</v>
      </c>
      <c r="C71" s="14">
        <f>73150+68050</f>
        <v>141200</v>
      </c>
      <c r="D71" s="14">
        <f>68050+62750</f>
        <v>130800</v>
      </c>
      <c r="E71" s="14">
        <f>62750+57250</f>
        <v>120000</v>
      </c>
      <c r="F71" s="14">
        <f>57250+51450</f>
        <v>108700</v>
      </c>
      <c r="G71" s="14">
        <f>51450+45450</f>
        <v>96900</v>
      </c>
      <c r="H71" s="14">
        <f>45450+39150</f>
        <v>84600</v>
      </c>
      <c r="I71" s="14">
        <f>39150+32550</f>
        <v>71700</v>
      </c>
      <c r="J71" s="14">
        <f>32550+25650</f>
        <v>58200</v>
      </c>
      <c r="K71" s="14">
        <f>25650+17550</f>
        <v>43200</v>
      </c>
      <c r="L71" s="14">
        <f>17550+9113</f>
        <v>26663</v>
      </c>
      <c r="M71" s="14">
        <v>9113</v>
      </c>
      <c r="N71" s="14"/>
      <c r="O71" s="14"/>
      <c r="P71" s="14"/>
      <c r="Q71" s="14"/>
      <c r="R71" s="14"/>
      <c r="S71" s="14"/>
      <c r="T71" s="14"/>
      <c r="U71" s="14"/>
      <c r="V71" s="14"/>
      <c r="W71" s="14"/>
      <c r="X71" s="14"/>
      <c r="Y71" s="14"/>
      <c r="Z71" s="14"/>
      <c r="AA71" s="14"/>
      <c r="AB71" s="14"/>
      <c r="AC71" s="14"/>
      <c r="AD71" s="14"/>
      <c r="AE71" s="14"/>
      <c r="AF71" s="14"/>
      <c r="AG71" s="14"/>
      <c r="AH71" s="14"/>
      <c r="AI71" s="14"/>
    </row>
    <row r="72" spans="1:35" x14ac:dyDescent="0.25">
      <c r="A72" s="11">
        <v>5930</v>
      </c>
      <c r="B72" s="63" t="s">
        <v>36</v>
      </c>
      <c r="C72" s="122">
        <f t="shared" ref="C72:C77" si="36">+C157</f>
        <v>4266</v>
      </c>
      <c r="D72" s="122">
        <f t="shared" ref="D72:AI72" si="37">+D157</f>
        <v>3638</v>
      </c>
      <c r="E72" s="122">
        <f t="shared" si="37"/>
        <v>3241</v>
      </c>
      <c r="F72" s="122">
        <f t="shared" si="37"/>
        <v>2836</v>
      </c>
      <c r="G72" s="122">
        <f t="shared" si="37"/>
        <v>2424</v>
      </c>
      <c r="H72" s="122">
        <f t="shared" si="37"/>
        <v>2002</v>
      </c>
      <c r="I72" s="122">
        <f t="shared" si="37"/>
        <v>1572</v>
      </c>
      <c r="J72" s="122">
        <f t="shared" si="37"/>
        <v>1134</v>
      </c>
      <c r="K72" s="122">
        <f t="shared" si="37"/>
        <v>687</v>
      </c>
      <c r="L72" s="122">
        <f t="shared" si="37"/>
        <v>231</v>
      </c>
      <c r="M72" s="122">
        <f t="shared" si="37"/>
        <v>0</v>
      </c>
      <c r="N72" s="122">
        <f t="shared" si="37"/>
        <v>0</v>
      </c>
      <c r="O72" s="122">
        <f t="shared" si="37"/>
        <v>0</v>
      </c>
      <c r="P72" s="122">
        <f t="shared" si="37"/>
        <v>0</v>
      </c>
      <c r="Q72" s="122">
        <f t="shared" si="37"/>
        <v>0</v>
      </c>
      <c r="R72" s="122">
        <f t="shared" si="37"/>
        <v>0</v>
      </c>
      <c r="S72" s="122">
        <f t="shared" si="37"/>
        <v>0</v>
      </c>
      <c r="T72" s="122">
        <f t="shared" si="37"/>
        <v>0</v>
      </c>
      <c r="U72" s="122">
        <f t="shared" si="37"/>
        <v>0</v>
      </c>
      <c r="V72" s="122">
        <f t="shared" si="37"/>
        <v>0</v>
      </c>
      <c r="W72" s="122">
        <f t="shared" si="37"/>
        <v>0</v>
      </c>
      <c r="X72" s="122">
        <f t="shared" si="37"/>
        <v>0</v>
      </c>
      <c r="Y72" s="122">
        <f t="shared" si="37"/>
        <v>0</v>
      </c>
      <c r="Z72" s="122">
        <f t="shared" si="37"/>
        <v>0</v>
      </c>
      <c r="AA72" s="122">
        <f t="shared" si="37"/>
        <v>0</v>
      </c>
      <c r="AB72" s="122">
        <f t="shared" si="37"/>
        <v>0</v>
      </c>
      <c r="AC72" s="122">
        <f t="shared" si="37"/>
        <v>0</v>
      </c>
      <c r="AD72" s="122">
        <f t="shared" si="37"/>
        <v>0</v>
      </c>
      <c r="AE72" s="122">
        <f t="shared" si="37"/>
        <v>0</v>
      </c>
      <c r="AF72" s="122">
        <f t="shared" si="37"/>
        <v>0</v>
      </c>
      <c r="AG72" s="122">
        <f t="shared" si="37"/>
        <v>0</v>
      </c>
      <c r="AH72" s="122">
        <f t="shared" si="37"/>
        <v>0</v>
      </c>
      <c r="AI72" s="122">
        <f t="shared" si="37"/>
        <v>0</v>
      </c>
    </row>
    <row r="73" spans="1:35" x14ac:dyDescent="0.25">
      <c r="A73" s="11" t="s">
        <v>604</v>
      </c>
      <c r="B73" s="63" t="s">
        <v>39</v>
      </c>
      <c r="C73" s="122">
        <f t="shared" si="36"/>
        <v>302</v>
      </c>
      <c r="D73" s="122">
        <f t="shared" ref="D73:AI73" si="38">+D158</f>
        <v>273</v>
      </c>
      <c r="E73" s="122">
        <f t="shared" si="38"/>
        <v>243</v>
      </c>
      <c r="F73" s="122">
        <f t="shared" si="38"/>
        <v>213</v>
      </c>
      <c r="G73" s="122">
        <f t="shared" si="38"/>
        <v>182</v>
      </c>
      <c r="H73" s="122">
        <f t="shared" si="38"/>
        <v>150</v>
      </c>
      <c r="I73" s="122">
        <f t="shared" si="38"/>
        <v>118</v>
      </c>
      <c r="J73" s="122">
        <f t="shared" si="38"/>
        <v>85</v>
      </c>
      <c r="K73" s="122">
        <f t="shared" si="38"/>
        <v>52</v>
      </c>
      <c r="L73" s="122">
        <f t="shared" si="38"/>
        <v>178</v>
      </c>
      <c r="M73" s="122">
        <f t="shared" si="38"/>
        <v>0</v>
      </c>
      <c r="N73" s="122">
        <f t="shared" si="38"/>
        <v>0</v>
      </c>
      <c r="O73" s="122">
        <f t="shared" si="38"/>
        <v>0</v>
      </c>
      <c r="P73" s="122">
        <f t="shared" si="38"/>
        <v>0</v>
      </c>
      <c r="Q73" s="122">
        <f t="shared" si="38"/>
        <v>0</v>
      </c>
      <c r="R73" s="122">
        <f t="shared" si="38"/>
        <v>0</v>
      </c>
      <c r="S73" s="122">
        <f t="shared" si="38"/>
        <v>0</v>
      </c>
      <c r="T73" s="122">
        <f t="shared" si="38"/>
        <v>0</v>
      </c>
      <c r="U73" s="122">
        <f t="shared" si="38"/>
        <v>0</v>
      </c>
      <c r="V73" s="122">
        <f t="shared" si="38"/>
        <v>0</v>
      </c>
      <c r="W73" s="122">
        <f t="shared" si="38"/>
        <v>0</v>
      </c>
      <c r="X73" s="122">
        <f t="shared" si="38"/>
        <v>0</v>
      </c>
      <c r="Y73" s="122">
        <f t="shared" si="38"/>
        <v>0</v>
      </c>
      <c r="Z73" s="122">
        <f t="shared" si="38"/>
        <v>0</v>
      </c>
      <c r="AA73" s="122">
        <f t="shared" si="38"/>
        <v>0</v>
      </c>
      <c r="AB73" s="122">
        <f t="shared" si="38"/>
        <v>0</v>
      </c>
      <c r="AC73" s="122">
        <f t="shared" si="38"/>
        <v>0</v>
      </c>
      <c r="AD73" s="122">
        <f t="shared" si="38"/>
        <v>0</v>
      </c>
      <c r="AE73" s="122">
        <f t="shared" si="38"/>
        <v>0</v>
      </c>
      <c r="AF73" s="122">
        <f t="shared" si="38"/>
        <v>0</v>
      </c>
      <c r="AG73" s="122">
        <f t="shared" si="38"/>
        <v>0</v>
      </c>
      <c r="AH73" s="122">
        <f t="shared" si="38"/>
        <v>0</v>
      </c>
      <c r="AI73" s="122">
        <f t="shared" si="38"/>
        <v>0</v>
      </c>
    </row>
    <row r="74" spans="1:35" x14ac:dyDescent="0.25">
      <c r="A74" s="11">
        <v>5931</v>
      </c>
      <c r="B74" s="63" t="s">
        <v>37</v>
      </c>
      <c r="C74" s="122">
        <f t="shared" si="36"/>
        <v>14054</v>
      </c>
      <c r="D74" s="122">
        <f t="shared" ref="D74:AI74" si="39">+D159</f>
        <v>13468</v>
      </c>
      <c r="E74" s="122">
        <f t="shared" si="39"/>
        <v>12921</v>
      </c>
      <c r="F74" s="122">
        <f t="shared" si="39"/>
        <v>12360</v>
      </c>
      <c r="G74" s="122">
        <f t="shared" si="39"/>
        <v>11785</v>
      </c>
      <c r="H74" s="122">
        <f t="shared" si="39"/>
        <v>11197</v>
      </c>
      <c r="I74" s="122">
        <f t="shared" si="39"/>
        <v>10594</v>
      </c>
      <c r="J74" s="122">
        <f t="shared" si="39"/>
        <v>9976</v>
      </c>
      <c r="K74" s="122">
        <f t="shared" si="39"/>
        <v>9343</v>
      </c>
      <c r="L74" s="122">
        <f t="shared" si="39"/>
        <v>8695</v>
      </c>
      <c r="M74" s="122">
        <f t="shared" si="39"/>
        <v>8031</v>
      </c>
      <c r="N74" s="122">
        <f t="shared" si="39"/>
        <v>7350</v>
      </c>
      <c r="O74" s="122">
        <f t="shared" si="39"/>
        <v>6653</v>
      </c>
      <c r="P74" s="122">
        <f t="shared" si="39"/>
        <v>5939</v>
      </c>
      <c r="Q74" s="122">
        <f t="shared" si="39"/>
        <v>5208</v>
      </c>
      <c r="R74" s="122">
        <f t="shared" si="39"/>
        <v>4458</v>
      </c>
      <c r="S74" s="122">
        <f t="shared" si="39"/>
        <v>3691</v>
      </c>
      <c r="T74" s="122">
        <f t="shared" si="39"/>
        <v>2904</v>
      </c>
      <c r="U74" s="122">
        <f t="shared" si="39"/>
        <v>2099</v>
      </c>
      <c r="V74" s="122">
        <f t="shared" si="39"/>
        <v>1274</v>
      </c>
      <c r="W74" s="122">
        <f t="shared" si="39"/>
        <v>428</v>
      </c>
      <c r="X74" s="122">
        <f t="shared" si="39"/>
        <v>0</v>
      </c>
      <c r="Y74" s="122">
        <f t="shared" si="39"/>
        <v>0</v>
      </c>
      <c r="Z74" s="122">
        <f t="shared" si="39"/>
        <v>0</v>
      </c>
      <c r="AA74" s="122">
        <f t="shared" si="39"/>
        <v>0</v>
      </c>
      <c r="AB74" s="122">
        <f t="shared" si="39"/>
        <v>0</v>
      </c>
      <c r="AC74" s="122">
        <f t="shared" si="39"/>
        <v>0</v>
      </c>
      <c r="AD74" s="122">
        <f t="shared" si="39"/>
        <v>0</v>
      </c>
      <c r="AE74" s="122">
        <f t="shared" si="39"/>
        <v>0</v>
      </c>
      <c r="AF74" s="122">
        <f t="shared" si="39"/>
        <v>0</v>
      </c>
      <c r="AG74" s="122">
        <f t="shared" si="39"/>
        <v>0</v>
      </c>
      <c r="AH74" s="122">
        <f t="shared" si="39"/>
        <v>0</v>
      </c>
      <c r="AI74" s="122">
        <f t="shared" si="39"/>
        <v>0</v>
      </c>
    </row>
    <row r="75" spans="1:35" x14ac:dyDescent="0.25">
      <c r="A75" s="11" t="s">
        <v>605</v>
      </c>
      <c r="B75" s="63" t="s">
        <v>40</v>
      </c>
      <c r="C75" s="122">
        <f t="shared" si="36"/>
        <v>870</v>
      </c>
      <c r="D75" s="122">
        <f t="shared" ref="D75:AI75" si="40">+D160</f>
        <v>837</v>
      </c>
      <c r="E75" s="122">
        <f t="shared" si="40"/>
        <v>803</v>
      </c>
      <c r="F75" s="122">
        <f t="shared" si="40"/>
        <v>768</v>
      </c>
      <c r="G75" s="122">
        <f t="shared" si="40"/>
        <v>732</v>
      </c>
      <c r="H75" s="122">
        <f t="shared" si="40"/>
        <v>696</v>
      </c>
      <c r="I75" s="122">
        <f t="shared" si="40"/>
        <v>658</v>
      </c>
      <c r="J75" s="122">
        <f t="shared" si="40"/>
        <v>580</v>
      </c>
      <c r="K75" s="122">
        <f t="shared" si="40"/>
        <v>581</v>
      </c>
      <c r="L75" s="122">
        <f t="shared" si="40"/>
        <v>540</v>
      </c>
      <c r="M75" s="122">
        <f t="shared" si="40"/>
        <v>499</v>
      </c>
      <c r="N75" s="122">
        <f t="shared" si="40"/>
        <v>457</v>
      </c>
      <c r="O75" s="122">
        <f t="shared" si="40"/>
        <v>414</v>
      </c>
      <c r="P75" s="122">
        <f t="shared" si="40"/>
        <v>369</v>
      </c>
      <c r="Q75" s="122">
        <f t="shared" si="40"/>
        <v>324</v>
      </c>
      <c r="R75" s="122">
        <f t="shared" si="40"/>
        <v>277</v>
      </c>
      <c r="S75" s="122">
        <f t="shared" si="40"/>
        <v>230</v>
      </c>
      <c r="T75" s="122">
        <f t="shared" si="40"/>
        <v>181</v>
      </c>
      <c r="U75" s="122">
        <f t="shared" si="40"/>
        <v>131</v>
      </c>
      <c r="V75" s="122">
        <f t="shared" si="40"/>
        <v>79</v>
      </c>
      <c r="W75" s="122">
        <f t="shared" si="40"/>
        <v>27</v>
      </c>
      <c r="X75" s="122">
        <f t="shared" si="40"/>
        <v>0</v>
      </c>
      <c r="Y75" s="122">
        <f t="shared" si="40"/>
        <v>0</v>
      </c>
      <c r="Z75" s="122">
        <f t="shared" si="40"/>
        <v>0</v>
      </c>
      <c r="AA75" s="122">
        <f t="shared" si="40"/>
        <v>0</v>
      </c>
      <c r="AB75" s="122">
        <f t="shared" si="40"/>
        <v>0</v>
      </c>
      <c r="AC75" s="122">
        <f t="shared" si="40"/>
        <v>0</v>
      </c>
      <c r="AD75" s="122">
        <f t="shared" si="40"/>
        <v>0</v>
      </c>
      <c r="AE75" s="122">
        <f t="shared" si="40"/>
        <v>0</v>
      </c>
      <c r="AF75" s="122">
        <f t="shared" si="40"/>
        <v>0</v>
      </c>
      <c r="AG75" s="122">
        <f t="shared" si="40"/>
        <v>0</v>
      </c>
      <c r="AH75" s="122">
        <f t="shared" si="40"/>
        <v>0</v>
      </c>
      <c r="AI75" s="122">
        <f t="shared" si="40"/>
        <v>0</v>
      </c>
    </row>
    <row r="76" spans="1:35" x14ac:dyDescent="0.25">
      <c r="A76" s="11">
        <v>5932</v>
      </c>
      <c r="B76" s="63" t="s">
        <v>38</v>
      </c>
      <c r="C76" s="122">
        <f t="shared" si="36"/>
        <v>15860</v>
      </c>
      <c r="D76" s="122">
        <f t="shared" ref="D76:AI76" si="41">+D161</f>
        <v>15578</v>
      </c>
      <c r="E76" s="122">
        <f t="shared" si="41"/>
        <v>15283</v>
      </c>
      <c r="F76" s="122">
        <f t="shared" si="41"/>
        <v>14976</v>
      </c>
      <c r="G76" s="122">
        <f t="shared" si="41"/>
        <v>14656</v>
      </c>
      <c r="H76" s="122">
        <f t="shared" si="41"/>
        <v>14321</v>
      </c>
      <c r="I76" s="122">
        <f t="shared" si="41"/>
        <v>13972</v>
      </c>
      <c r="J76" s="122">
        <f t="shared" si="41"/>
        <v>13608</v>
      </c>
      <c r="K76" s="122">
        <f t="shared" si="41"/>
        <v>13227</v>
      </c>
      <c r="L76" s="122">
        <f t="shared" si="41"/>
        <v>12830</v>
      </c>
      <c r="M76" s="122">
        <f t="shared" si="41"/>
        <v>12416</v>
      </c>
      <c r="N76" s="122">
        <f t="shared" si="41"/>
        <v>11983</v>
      </c>
      <c r="O76" s="122">
        <f t="shared" si="41"/>
        <v>11532</v>
      </c>
      <c r="P76" s="122">
        <f t="shared" si="41"/>
        <v>11060</v>
      </c>
      <c r="Q76" s="122">
        <f t="shared" si="41"/>
        <v>10568</v>
      </c>
      <c r="R76" s="122">
        <f t="shared" si="41"/>
        <v>10055</v>
      </c>
      <c r="S76" s="122">
        <f t="shared" si="41"/>
        <v>9519</v>
      </c>
      <c r="T76" s="122">
        <f t="shared" si="41"/>
        <v>8960</v>
      </c>
      <c r="U76" s="122">
        <f t="shared" si="41"/>
        <v>8376</v>
      </c>
      <c r="V76" s="122">
        <f t="shared" si="41"/>
        <v>7767</v>
      </c>
      <c r="W76" s="122">
        <f t="shared" si="41"/>
        <v>7131</v>
      </c>
      <c r="X76" s="122">
        <f t="shared" si="41"/>
        <v>6467</v>
      </c>
      <c r="Y76" s="122">
        <f t="shared" si="41"/>
        <v>5774</v>
      </c>
      <c r="Z76" s="122">
        <f t="shared" si="41"/>
        <v>5051</v>
      </c>
      <c r="AA76" s="122">
        <f t="shared" si="41"/>
        <v>4296</v>
      </c>
      <c r="AB76" s="122">
        <f t="shared" si="41"/>
        <v>3508</v>
      </c>
      <c r="AC76" s="122">
        <f t="shared" si="41"/>
        <v>2686</v>
      </c>
      <c r="AD76" s="122">
        <f t="shared" si="41"/>
        <v>1828</v>
      </c>
      <c r="AE76" s="122">
        <f t="shared" si="41"/>
        <v>932</v>
      </c>
      <c r="AF76" s="122">
        <f t="shared" si="41"/>
        <v>0</v>
      </c>
      <c r="AG76" s="122">
        <f t="shared" si="41"/>
        <v>0</v>
      </c>
      <c r="AH76" s="122">
        <f t="shared" si="41"/>
        <v>0</v>
      </c>
      <c r="AI76" s="122">
        <f t="shared" si="41"/>
        <v>0</v>
      </c>
    </row>
    <row r="77" spans="1:35" x14ac:dyDescent="0.25">
      <c r="A77" s="11">
        <v>5933</v>
      </c>
      <c r="B77" s="63" t="s">
        <v>352</v>
      </c>
      <c r="C77" s="122">
        <f t="shared" si="36"/>
        <v>14729</v>
      </c>
      <c r="D77" s="122">
        <f t="shared" ref="D77:AI77" si="42">+D162</f>
        <v>14486</v>
      </c>
      <c r="E77" s="122">
        <f t="shared" si="42"/>
        <v>14233</v>
      </c>
      <c r="F77" s="122">
        <f t="shared" si="42"/>
        <v>13970</v>
      </c>
      <c r="G77" s="122">
        <f t="shared" si="42"/>
        <v>13695</v>
      </c>
      <c r="H77" s="122">
        <f t="shared" si="42"/>
        <v>13410</v>
      </c>
      <c r="I77" s="122">
        <f t="shared" si="42"/>
        <v>13112</v>
      </c>
      <c r="J77" s="122">
        <f t="shared" si="42"/>
        <v>12802</v>
      </c>
      <c r="K77" s="122">
        <f t="shared" si="42"/>
        <v>12480</v>
      </c>
      <c r="L77" s="122">
        <f t="shared" si="42"/>
        <v>12144</v>
      </c>
      <c r="M77" s="122">
        <f t="shared" si="42"/>
        <v>11795</v>
      </c>
      <c r="N77" s="122">
        <f t="shared" si="42"/>
        <v>11431</v>
      </c>
      <c r="O77" s="122">
        <f t="shared" si="42"/>
        <v>11052</v>
      </c>
      <c r="P77" s="122">
        <f t="shared" si="42"/>
        <v>10657</v>
      </c>
      <c r="Q77" s="122">
        <f t="shared" si="42"/>
        <v>10246</v>
      </c>
      <c r="R77" s="122">
        <f t="shared" si="42"/>
        <v>9818</v>
      </c>
      <c r="S77" s="122">
        <f t="shared" si="42"/>
        <v>9372</v>
      </c>
      <c r="T77" s="122">
        <f t="shared" si="42"/>
        <v>8908</v>
      </c>
      <c r="U77" s="122">
        <f t="shared" si="42"/>
        <v>8425</v>
      </c>
      <c r="V77" s="122">
        <f t="shared" si="42"/>
        <v>7922</v>
      </c>
      <c r="W77" s="122">
        <f t="shared" si="42"/>
        <v>7398</v>
      </c>
      <c r="X77" s="122">
        <f t="shared" si="42"/>
        <v>6853</v>
      </c>
      <c r="Y77" s="122">
        <f t="shared" si="42"/>
        <v>6285</v>
      </c>
      <c r="Z77" s="122">
        <f t="shared" si="42"/>
        <v>5694</v>
      </c>
      <c r="AA77" s="122">
        <f t="shared" si="42"/>
        <v>5078</v>
      </c>
      <c r="AB77" s="122">
        <f t="shared" si="42"/>
        <v>4437</v>
      </c>
      <c r="AC77" s="122">
        <f t="shared" si="42"/>
        <v>3769</v>
      </c>
      <c r="AD77" s="122">
        <f t="shared" si="42"/>
        <v>3074</v>
      </c>
      <c r="AE77" s="122">
        <f t="shared" si="42"/>
        <v>2350</v>
      </c>
      <c r="AF77" s="122">
        <f t="shared" si="42"/>
        <v>1597</v>
      </c>
      <c r="AG77" s="122">
        <f t="shared" si="42"/>
        <v>812</v>
      </c>
      <c r="AH77" s="122">
        <f t="shared" si="42"/>
        <v>0</v>
      </c>
      <c r="AI77" s="122">
        <f t="shared" si="42"/>
        <v>0</v>
      </c>
    </row>
    <row r="78" spans="1:35" x14ac:dyDescent="0.25">
      <c r="A78" s="11">
        <v>5934</v>
      </c>
      <c r="B78" s="12" t="s">
        <v>683</v>
      </c>
      <c r="C78" s="38">
        <f>1137.5+1037.5</f>
        <v>2175</v>
      </c>
      <c r="D78" s="38">
        <f>1037.5+937.5</f>
        <v>1975</v>
      </c>
      <c r="E78" s="38">
        <f>937.5+837.5</f>
        <v>1775</v>
      </c>
      <c r="F78" s="38">
        <f>837.5+737.5</f>
        <v>1575</v>
      </c>
      <c r="G78" s="38">
        <f>737.5+637.5</f>
        <v>1375</v>
      </c>
      <c r="H78" s="38">
        <f>637.5+537.5</f>
        <v>1175</v>
      </c>
      <c r="I78" s="38">
        <f>537.5+437.5</f>
        <v>975</v>
      </c>
      <c r="J78" s="38">
        <f>437.5+337.5</f>
        <v>775</v>
      </c>
      <c r="K78" s="38">
        <f>337.5+225+0.5</f>
        <v>563</v>
      </c>
      <c r="L78" s="38">
        <f>225+113</f>
        <v>338</v>
      </c>
      <c r="M78" s="38">
        <v>113</v>
      </c>
      <c r="N78" s="38"/>
      <c r="O78" s="38"/>
      <c r="P78" s="38"/>
      <c r="Q78" s="38"/>
      <c r="R78" s="38"/>
      <c r="S78" s="38"/>
      <c r="T78" s="38"/>
      <c r="U78" s="38"/>
      <c r="V78" s="38"/>
      <c r="W78" s="38"/>
      <c r="X78" s="38"/>
      <c r="Y78" s="38"/>
      <c r="Z78" s="38"/>
      <c r="AA78" s="38"/>
      <c r="AB78" s="38"/>
      <c r="AC78" s="38"/>
      <c r="AD78" s="38"/>
      <c r="AE78" s="38"/>
      <c r="AF78" s="38"/>
      <c r="AG78" s="38"/>
      <c r="AH78" s="38"/>
      <c r="AI78" s="38"/>
    </row>
    <row r="79" spans="1:35" x14ac:dyDescent="0.25">
      <c r="A79" s="11">
        <v>5936</v>
      </c>
      <c r="B79" s="29" t="s">
        <v>733</v>
      </c>
      <c r="C79" s="38">
        <v>2645</v>
      </c>
      <c r="D79" s="38">
        <v>2505</v>
      </c>
      <c r="E79" s="38">
        <v>2361</v>
      </c>
      <c r="F79" s="38">
        <v>2213</v>
      </c>
      <c r="G79" s="38">
        <v>2062</v>
      </c>
      <c r="H79" s="38">
        <v>1907</v>
      </c>
      <c r="I79" s="38">
        <v>1748</v>
      </c>
      <c r="J79" s="38">
        <v>1585</v>
      </c>
      <c r="K79" s="38">
        <v>1419</v>
      </c>
      <c r="L79" s="38">
        <v>1247</v>
      </c>
      <c r="M79" s="38">
        <v>1072</v>
      </c>
      <c r="N79" s="38">
        <v>892</v>
      </c>
      <c r="O79" s="38">
        <v>708</v>
      </c>
      <c r="P79" s="38">
        <v>519</v>
      </c>
      <c r="Q79" s="38">
        <v>326</v>
      </c>
      <c r="R79" s="38">
        <v>127</v>
      </c>
      <c r="S79" s="38"/>
      <c r="T79" s="38"/>
      <c r="U79" s="38"/>
      <c r="V79" s="38"/>
      <c r="W79" s="38"/>
      <c r="X79" s="38"/>
      <c r="Y79" s="38"/>
      <c r="Z79" s="38"/>
      <c r="AA79" s="38"/>
      <c r="AB79" s="38"/>
      <c r="AC79" s="38"/>
      <c r="AD79" s="38"/>
      <c r="AE79" s="38"/>
      <c r="AF79" s="38"/>
      <c r="AG79" s="38"/>
      <c r="AH79" s="38"/>
      <c r="AI79" s="38"/>
    </row>
    <row r="80" spans="1:35" x14ac:dyDescent="0.25">
      <c r="A80" s="28">
        <v>5937</v>
      </c>
      <c r="B80" s="29" t="s">
        <v>939</v>
      </c>
      <c r="C80" s="38">
        <v>2975</v>
      </c>
      <c r="D80" s="38">
        <v>2825</v>
      </c>
      <c r="E80" s="38">
        <v>2675</v>
      </c>
      <c r="F80" s="38">
        <v>2525</v>
      </c>
      <c r="G80" s="38">
        <v>2375</v>
      </c>
      <c r="H80" s="38">
        <v>2225</v>
      </c>
      <c r="I80" s="38">
        <v>2075</v>
      </c>
      <c r="J80" s="38">
        <v>1925</v>
      </c>
      <c r="K80" s="38">
        <v>1738</v>
      </c>
      <c r="L80" s="38">
        <v>1550</v>
      </c>
      <c r="M80" s="38">
        <v>1363</v>
      </c>
      <c r="N80" s="38">
        <v>1175</v>
      </c>
      <c r="O80" s="38">
        <v>988</v>
      </c>
      <c r="P80" s="38">
        <v>800</v>
      </c>
      <c r="Q80" s="38">
        <v>600</v>
      </c>
      <c r="R80" s="38">
        <v>400</v>
      </c>
      <c r="S80" s="38">
        <v>200</v>
      </c>
      <c r="T80" s="38"/>
      <c r="U80" s="38"/>
      <c r="V80" s="38"/>
      <c r="W80" s="38"/>
      <c r="X80" s="38"/>
      <c r="Y80" s="38"/>
      <c r="Z80" s="38"/>
      <c r="AA80" s="38"/>
      <c r="AB80" s="38"/>
      <c r="AC80" s="38"/>
      <c r="AD80" s="38"/>
      <c r="AE80" s="38"/>
      <c r="AF80" s="38"/>
      <c r="AG80" s="38"/>
      <c r="AH80" s="38"/>
      <c r="AI80" s="38"/>
    </row>
    <row r="81" spans="1:35" x14ac:dyDescent="0.25">
      <c r="A81" s="28">
        <v>5938</v>
      </c>
      <c r="B81" s="12" t="s">
        <v>761</v>
      </c>
      <c r="C81" s="38"/>
      <c r="D81" s="38">
        <v>645</v>
      </c>
      <c r="E81" s="38">
        <v>430</v>
      </c>
      <c r="F81" s="38">
        <v>215</v>
      </c>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row>
    <row r="82" spans="1:35" x14ac:dyDescent="0.25">
      <c r="A82" s="28">
        <v>5939</v>
      </c>
      <c r="B82" s="12" t="s">
        <v>762</v>
      </c>
      <c r="C82" s="38"/>
      <c r="D82" s="38">
        <v>645</v>
      </c>
      <c r="E82" s="38">
        <v>430</v>
      </c>
      <c r="F82" s="38">
        <v>215</v>
      </c>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row>
    <row r="83" spans="1:35" x14ac:dyDescent="0.25">
      <c r="A83" s="28">
        <v>5944</v>
      </c>
      <c r="B83" s="12" t="s">
        <v>1046</v>
      </c>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row>
    <row r="84" spans="1:35" x14ac:dyDescent="0.25">
      <c r="A84" s="28">
        <v>5947</v>
      </c>
      <c r="B84" s="29" t="s">
        <v>1110</v>
      </c>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row>
    <row r="85" spans="1:35" x14ac:dyDescent="0.25">
      <c r="A85" s="28"/>
      <c r="B85" s="29"/>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row>
    <row r="86" spans="1:35" x14ac:dyDescent="0.25">
      <c r="A86" s="28"/>
      <c r="B86" s="12" t="s">
        <v>1126</v>
      </c>
      <c r="C86" s="38"/>
      <c r="D86" s="14">
        <f>ROUND((37538*0.93),0)</f>
        <v>34910</v>
      </c>
      <c r="E86" s="14">
        <f>ROUND((32970*0.93),0)</f>
        <v>30662</v>
      </c>
      <c r="F86" s="14">
        <f>ROUND((28350*0.93),0)</f>
        <v>26366</v>
      </c>
      <c r="G86" s="14">
        <f>ROUND((23730*0.93),0)</f>
        <v>22069</v>
      </c>
      <c r="H86" s="14">
        <f>ROUND((19005*0.93),0)</f>
        <v>17675</v>
      </c>
      <c r="I86" s="14">
        <f>ROUND((14280*0.93),0)</f>
        <v>13280</v>
      </c>
      <c r="J86" s="14">
        <f>ROUND((9555*0.93),0)</f>
        <v>8886</v>
      </c>
      <c r="K86" s="14">
        <f>ROUND((4830*0.93),0)</f>
        <v>4492</v>
      </c>
      <c r="L86" s="38"/>
      <c r="M86" s="38"/>
      <c r="N86" s="38"/>
      <c r="O86" s="38"/>
      <c r="P86" s="38"/>
      <c r="Q86" s="38"/>
      <c r="R86" s="38"/>
      <c r="S86" s="38"/>
      <c r="T86" s="38"/>
      <c r="U86" s="38"/>
      <c r="V86" s="38"/>
      <c r="W86" s="38"/>
      <c r="X86" s="38"/>
      <c r="Y86" s="38"/>
      <c r="Z86" s="38"/>
      <c r="AA86" s="38"/>
      <c r="AB86" s="38"/>
      <c r="AC86" s="38"/>
      <c r="AD86" s="38"/>
      <c r="AE86" s="38"/>
      <c r="AF86" s="38"/>
      <c r="AG86" s="38"/>
      <c r="AH86" s="38"/>
      <c r="AI86" s="38"/>
    </row>
    <row r="87" spans="1:35" x14ac:dyDescent="0.25">
      <c r="A87" s="28"/>
      <c r="B87" s="12" t="s">
        <v>1127</v>
      </c>
      <c r="C87" s="38"/>
      <c r="D87" s="38">
        <v>6552</v>
      </c>
      <c r="E87" s="38">
        <v>4914</v>
      </c>
      <c r="F87" s="38">
        <v>3276</v>
      </c>
      <c r="G87" s="38">
        <v>1638</v>
      </c>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row>
    <row r="88" spans="1:35" ht="13.8" thickBot="1" x14ac:dyDescent="0.3">
      <c r="A88" s="28"/>
      <c r="B88" s="29"/>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row>
    <row r="89" spans="1:35" x14ac:dyDescent="0.25">
      <c r="A89" s="28"/>
      <c r="B89" s="29" t="s">
        <v>1123</v>
      </c>
      <c r="D89" s="27">
        <f t="shared" ref="D89:AI89" si="43">SUM(D50:D88)</f>
        <v>808886</v>
      </c>
      <c r="E89" s="27">
        <f t="shared" si="43"/>
        <v>795496</v>
      </c>
      <c r="F89" s="27">
        <f t="shared" si="43"/>
        <v>751060</v>
      </c>
      <c r="G89" s="27">
        <f t="shared" si="43"/>
        <v>721554</v>
      </c>
      <c r="H89" s="27">
        <f t="shared" si="43"/>
        <v>657205</v>
      </c>
      <c r="I89" s="27">
        <f t="shared" si="43"/>
        <v>653889</v>
      </c>
      <c r="J89" s="27">
        <f t="shared" si="43"/>
        <v>649934</v>
      </c>
      <c r="K89" s="27">
        <f t="shared" si="43"/>
        <v>644510</v>
      </c>
      <c r="L89" s="27">
        <f t="shared" si="43"/>
        <v>539903</v>
      </c>
      <c r="M89" s="27">
        <f t="shared" si="43"/>
        <v>513151</v>
      </c>
      <c r="N89" s="27">
        <f t="shared" si="43"/>
        <v>93693</v>
      </c>
      <c r="O89" s="27">
        <f t="shared" si="43"/>
        <v>93464</v>
      </c>
      <c r="P89" s="27">
        <f t="shared" si="43"/>
        <v>93230</v>
      </c>
      <c r="Q89" s="27">
        <f t="shared" si="43"/>
        <v>92986</v>
      </c>
      <c r="R89" s="27">
        <f t="shared" si="43"/>
        <v>92737</v>
      </c>
      <c r="S89" s="27">
        <f t="shared" si="43"/>
        <v>84228</v>
      </c>
      <c r="T89" s="27">
        <f t="shared" si="43"/>
        <v>78979</v>
      </c>
      <c r="U89" s="27">
        <f t="shared" si="43"/>
        <v>78929</v>
      </c>
      <c r="V89" s="27">
        <f t="shared" si="43"/>
        <v>78877</v>
      </c>
      <c r="W89" s="27">
        <f t="shared" si="43"/>
        <v>78824</v>
      </c>
      <c r="X89" s="27">
        <f t="shared" si="43"/>
        <v>42923</v>
      </c>
      <c r="Y89" s="27">
        <f t="shared" si="43"/>
        <v>42923</v>
      </c>
      <c r="Z89" s="27">
        <f t="shared" si="43"/>
        <v>42924</v>
      </c>
      <c r="AA89" s="27">
        <f t="shared" si="43"/>
        <v>42923</v>
      </c>
      <c r="AB89" s="27">
        <f t="shared" si="43"/>
        <v>42924</v>
      </c>
      <c r="AC89" s="27">
        <f t="shared" si="43"/>
        <v>42923</v>
      </c>
      <c r="AD89" s="27">
        <f t="shared" si="43"/>
        <v>42923</v>
      </c>
      <c r="AE89" s="27">
        <f t="shared" si="43"/>
        <v>42854</v>
      </c>
      <c r="AF89" s="27">
        <f t="shared" si="43"/>
        <v>20621</v>
      </c>
      <c r="AG89" s="27">
        <f t="shared" si="43"/>
        <v>20497</v>
      </c>
      <c r="AH89" s="27">
        <f t="shared" si="43"/>
        <v>0</v>
      </c>
      <c r="AI89" s="27">
        <f t="shared" si="43"/>
        <v>0</v>
      </c>
    </row>
    <row r="90" spans="1:35" ht="13.8" thickBot="1" x14ac:dyDescent="0.3">
      <c r="A90" s="28"/>
      <c r="B90" s="29"/>
    </row>
    <row r="91" spans="1:35" ht="14.4" thickTop="1" thickBot="1" x14ac:dyDescent="0.3">
      <c r="A91" s="28"/>
      <c r="B91" s="99" t="s">
        <v>1120</v>
      </c>
      <c r="C91" s="205"/>
      <c r="D91" s="205"/>
      <c r="E91" s="205"/>
      <c r="F91" s="205"/>
      <c r="G91" s="205"/>
      <c r="H91" s="205"/>
      <c r="I91" s="205"/>
      <c r="J91" s="205"/>
      <c r="K91" s="205"/>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5"/>
      <c r="AI91" s="205"/>
    </row>
    <row r="92" spans="1:35" x14ac:dyDescent="0.25">
      <c r="A92" s="11" t="s">
        <v>517</v>
      </c>
      <c r="B92" s="12" t="s">
        <v>525</v>
      </c>
      <c r="C92" s="125">
        <v>30000</v>
      </c>
      <c r="D92" s="125">
        <v>30000</v>
      </c>
      <c r="E92" s="125">
        <v>30000</v>
      </c>
      <c r="F92" s="38">
        <v>25000</v>
      </c>
      <c r="G92" s="38">
        <v>25000</v>
      </c>
      <c r="H92" s="38">
        <v>25000</v>
      </c>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row>
    <row r="93" spans="1:35" x14ac:dyDescent="0.25">
      <c r="A93" s="11" t="s">
        <v>521</v>
      </c>
      <c r="B93" s="12" t="s">
        <v>526</v>
      </c>
      <c r="C93" s="125">
        <v>5000</v>
      </c>
      <c r="D93" s="125">
        <v>5000</v>
      </c>
      <c r="E93" s="125">
        <v>5000</v>
      </c>
      <c r="F93" s="125">
        <v>5000</v>
      </c>
      <c r="G93" s="125">
        <v>5000</v>
      </c>
      <c r="H93" s="125"/>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row>
    <row r="94" spans="1:35" x14ac:dyDescent="0.25">
      <c r="A94" s="11" t="s">
        <v>516</v>
      </c>
      <c r="B94" s="12" t="s">
        <v>43</v>
      </c>
      <c r="C94" s="38">
        <v>14863</v>
      </c>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row>
    <row r="95" spans="1:35" x14ac:dyDescent="0.25">
      <c r="A95" s="11" t="s">
        <v>403</v>
      </c>
      <c r="B95" s="12" t="s">
        <v>397</v>
      </c>
      <c r="C95" s="38">
        <v>15000</v>
      </c>
      <c r="D95" s="38">
        <v>15000</v>
      </c>
      <c r="E95" s="38">
        <v>15000</v>
      </c>
      <c r="F95" s="38">
        <v>15000</v>
      </c>
      <c r="G95" s="38">
        <v>10000</v>
      </c>
      <c r="H95" s="38">
        <v>10000</v>
      </c>
      <c r="I95" s="38">
        <v>10000</v>
      </c>
      <c r="J95" s="38">
        <v>10000</v>
      </c>
      <c r="K95" s="38">
        <v>10000</v>
      </c>
      <c r="L95" s="38">
        <v>10000</v>
      </c>
      <c r="M95" s="38"/>
      <c r="N95" s="38"/>
      <c r="O95" s="38"/>
      <c r="P95" s="38"/>
      <c r="Q95" s="38"/>
      <c r="R95" s="38"/>
      <c r="S95" s="38"/>
      <c r="T95" s="38"/>
      <c r="U95" s="38"/>
      <c r="V95" s="38"/>
      <c r="W95" s="38"/>
      <c r="X95" s="38"/>
      <c r="Y95" s="38"/>
      <c r="Z95" s="38"/>
      <c r="AA95" s="38"/>
      <c r="AB95" s="38"/>
      <c r="AC95" s="38"/>
      <c r="AD95" s="38"/>
      <c r="AE95" s="38"/>
      <c r="AF95" s="38"/>
      <c r="AG95" s="38"/>
      <c r="AH95" s="38"/>
      <c r="AI95" s="38"/>
    </row>
    <row r="96" spans="1:35" x14ac:dyDescent="0.25">
      <c r="A96" s="11" t="s">
        <v>582</v>
      </c>
      <c r="B96" s="63" t="s">
        <v>36</v>
      </c>
      <c r="C96" s="125">
        <f>+C167</f>
        <v>28869</v>
      </c>
      <c r="D96" s="125">
        <f t="shared" ref="D96:AI99" si="44">+D167</f>
        <v>29452</v>
      </c>
      <c r="E96" s="125">
        <f t="shared" si="44"/>
        <v>30047</v>
      </c>
      <c r="F96" s="125">
        <f t="shared" si="44"/>
        <v>31141</v>
      </c>
      <c r="G96" s="125">
        <f t="shared" si="44"/>
        <v>31274</v>
      </c>
      <c r="H96" s="125">
        <f t="shared" si="44"/>
        <v>31906</v>
      </c>
      <c r="I96" s="125">
        <f t="shared" si="44"/>
        <v>32550</v>
      </c>
      <c r="J96" s="125">
        <f t="shared" si="44"/>
        <v>33208</v>
      </c>
      <c r="K96" s="125">
        <f t="shared" si="44"/>
        <v>33878</v>
      </c>
      <c r="L96" s="125">
        <f t="shared" si="44"/>
        <v>34563</v>
      </c>
      <c r="M96" s="125">
        <f t="shared" si="44"/>
        <v>0</v>
      </c>
      <c r="N96" s="125">
        <f t="shared" si="44"/>
        <v>0</v>
      </c>
      <c r="O96" s="125">
        <f t="shared" si="44"/>
        <v>0</v>
      </c>
      <c r="P96" s="125">
        <f t="shared" si="44"/>
        <v>0</v>
      </c>
      <c r="Q96" s="125">
        <f t="shared" si="44"/>
        <v>0</v>
      </c>
      <c r="R96" s="125">
        <f t="shared" si="44"/>
        <v>0</v>
      </c>
      <c r="S96" s="125">
        <f t="shared" si="44"/>
        <v>0</v>
      </c>
      <c r="T96" s="125">
        <f t="shared" si="44"/>
        <v>0</v>
      </c>
      <c r="U96" s="125">
        <f t="shared" si="44"/>
        <v>0</v>
      </c>
      <c r="V96" s="125">
        <f t="shared" si="44"/>
        <v>0</v>
      </c>
      <c r="W96" s="125">
        <f t="shared" si="44"/>
        <v>0</v>
      </c>
      <c r="X96" s="125">
        <f t="shared" si="44"/>
        <v>0</v>
      </c>
      <c r="Y96" s="125">
        <f t="shared" si="44"/>
        <v>0</v>
      </c>
      <c r="Z96" s="125">
        <f t="shared" si="44"/>
        <v>0</v>
      </c>
      <c r="AA96" s="125">
        <f t="shared" si="44"/>
        <v>0</v>
      </c>
      <c r="AB96" s="125">
        <f t="shared" si="44"/>
        <v>0</v>
      </c>
      <c r="AC96" s="125">
        <f t="shared" si="44"/>
        <v>0</v>
      </c>
      <c r="AD96" s="125">
        <f t="shared" si="44"/>
        <v>0</v>
      </c>
      <c r="AE96" s="125">
        <f t="shared" si="44"/>
        <v>0</v>
      </c>
      <c r="AF96" s="125">
        <f t="shared" si="44"/>
        <v>0</v>
      </c>
      <c r="AG96" s="125">
        <f t="shared" si="44"/>
        <v>0</v>
      </c>
      <c r="AH96" s="125">
        <f t="shared" si="44"/>
        <v>0</v>
      </c>
      <c r="AI96" s="125">
        <f t="shared" si="44"/>
        <v>0</v>
      </c>
    </row>
    <row r="97" spans="1:35" x14ac:dyDescent="0.25">
      <c r="A97" s="11" t="s">
        <v>583</v>
      </c>
      <c r="B97" s="63" t="s">
        <v>37</v>
      </c>
      <c r="C97" s="125">
        <f>+C168</f>
        <v>32807</v>
      </c>
      <c r="D97" s="125">
        <f t="shared" ref="D97:R97" si="45">+D168</f>
        <v>33610</v>
      </c>
      <c r="E97" s="125">
        <f t="shared" si="45"/>
        <v>34430</v>
      </c>
      <c r="F97" s="125">
        <f t="shared" si="45"/>
        <v>35272</v>
      </c>
      <c r="G97" s="125">
        <f t="shared" si="45"/>
        <v>36134</v>
      </c>
      <c r="H97" s="125">
        <f t="shared" si="45"/>
        <v>37016</v>
      </c>
      <c r="I97" s="125">
        <f t="shared" si="45"/>
        <v>37921</v>
      </c>
      <c r="J97" s="125">
        <f t="shared" si="45"/>
        <v>38848</v>
      </c>
      <c r="K97" s="125">
        <f t="shared" si="45"/>
        <v>39797</v>
      </c>
      <c r="L97" s="125">
        <f t="shared" si="45"/>
        <v>40769</v>
      </c>
      <c r="M97" s="125">
        <f t="shared" si="45"/>
        <v>41765</v>
      </c>
      <c r="N97" s="125">
        <f t="shared" si="45"/>
        <v>42786</v>
      </c>
      <c r="O97" s="125">
        <f t="shared" si="45"/>
        <v>43832</v>
      </c>
      <c r="P97" s="125">
        <f t="shared" si="45"/>
        <v>44903</v>
      </c>
      <c r="Q97" s="125">
        <f t="shared" si="45"/>
        <v>46000</v>
      </c>
      <c r="R97" s="125">
        <f t="shared" si="45"/>
        <v>47124</v>
      </c>
      <c r="S97" s="125">
        <f t="shared" si="44"/>
        <v>48275</v>
      </c>
      <c r="T97" s="125">
        <f t="shared" si="44"/>
        <v>49455</v>
      </c>
      <c r="U97" s="125">
        <f t="shared" si="44"/>
        <v>50663</v>
      </c>
      <c r="V97" s="125">
        <f t="shared" si="44"/>
        <v>51901</v>
      </c>
      <c r="W97" s="125">
        <f t="shared" si="44"/>
        <v>53170</v>
      </c>
      <c r="X97" s="125">
        <f t="shared" si="44"/>
        <v>0</v>
      </c>
      <c r="Y97" s="125">
        <f t="shared" si="44"/>
        <v>0</v>
      </c>
      <c r="Z97" s="125">
        <f t="shared" si="44"/>
        <v>0</v>
      </c>
      <c r="AA97" s="125">
        <f t="shared" si="44"/>
        <v>0</v>
      </c>
      <c r="AB97" s="125">
        <f t="shared" si="44"/>
        <v>0</v>
      </c>
      <c r="AC97" s="125">
        <f t="shared" si="44"/>
        <v>0</v>
      </c>
      <c r="AD97" s="125">
        <f t="shared" si="44"/>
        <v>0</v>
      </c>
      <c r="AE97" s="125">
        <f t="shared" si="44"/>
        <v>0</v>
      </c>
      <c r="AF97" s="125">
        <f t="shared" si="44"/>
        <v>0</v>
      </c>
      <c r="AG97" s="125">
        <f t="shared" si="44"/>
        <v>0</v>
      </c>
      <c r="AH97" s="125">
        <f t="shared" si="44"/>
        <v>0</v>
      </c>
      <c r="AI97" s="125">
        <f t="shared" si="44"/>
        <v>0</v>
      </c>
    </row>
    <row r="98" spans="1:35" x14ac:dyDescent="0.25">
      <c r="A98" s="11" t="s">
        <v>584</v>
      </c>
      <c r="B98" s="63" t="s">
        <v>38</v>
      </c>
      <c r="C98" s="125">
        <f>+C169</f>
        <v>9665</v>
      </c>
      <c r="D98" s="125">
        <f t="shared" si="44"/>
        <v>10088</v>
      </c>
      <c r="E98" s="125">
        <f t="shared" si="44"/>
        <v>10530</v>
      </c>
      <c r="F98" s="125">
        <f t="shared" si="44"/>
        <v>10990</v>
      </c>
      <c r="G98" s="125">
        <f t="shared" si="44"/>
        <v>11471</v>
      </c>
      <c r="H98" s="125">
        <f t="shared" si="44"/>
        <v>11973</v>
      </c>
      <c r="I98" s="125">
        <f t="shared" si="44"/>
        <v>12497</v>
      </c>
      <c r="J98" s="125">
        <f t="shared" si="44"/>
        <v>13043</v>
      </c>
      <c r="K98" s="125">
        <f t="shared" si="44"/>
        <v>13614</v>
      </c>
      <c r="L98" s="125">
        <f t="shared" si="44"/>
        <v>14210</v>
      </c>
      <c r="M98" s="125">
        <f t="shared" si="44"/>
        <v>14831</v>
      </c>
      <c r="N98" s="125">
        <f t="shared" si="44"/>
        <v>15481</v>
      </c>
      <c r="O98" s="125">
        <f t="shared" si="44"/>
        <v>16157</v>
      </c>
      <c r="P98" s="125">
        <f t="shared" si="44"/>
        <v>16864</v>
      </c>
      <c r="Q98" s="125">
        <f t="shared" si="44"/>
        <v>17602</v>
      </c>
      <c r="R98" s="125">
        <f t="shared" si="44"/>
        <v>18373</v>
      </c>
      <c r="S98" s="125">
        <f t="shared" si="44"/>
        <v>19176</v>
      </c>
      <c r="T98" s="125">
        <f t="shared" si="44"/>
        <v>20015</v>
      </c>
      <c r="U98" s="125">
        <f t="shared" si="44"/>
        <v>20891</v>
      </c>
      <c r="V98" s="125">
        <f t="shared" si="44"/>
        <v>21805</v>
      </c>
      <c r="W98" s="125">
        <f t="shared" si="44"/>
        <v>22759</v>
      </c>
      <c r="X98" s="125">
        <f t="shared" si="44"/>
        <v>23755</v>
      </c>
      <c r="Y98" s="125">
        <f t="shared" si="44"/>
        <v>24794</v>
      </c>
      <c r="Z98" s="125">
        <f t="shared" si="44"/>
        <v>25878</v>
      </c>
      <c r="AA98" s="125">
        <f t="shared" si="44"/>
        <v>27010</v>
      </c>
      <c r="AB98" s="125">
        <f t="shared" si="44"/>
        <v>28192</v>
      </c>
      <c r="AC98" s="125">
        <f t="shared" si="44"/>
        <v>29426</v>
      </c>
      <c r="AD98" s="125">
        <f t="shared" si="44"/>
        <v>30713</v>
      </c>
      <c r="AE98" s="125">
        <f t="shared" si="44"/>
        <v>31953</v>
      </c>
      <c r="AF98" s="125">
        <f t="shared" si="44"/>
        <v>0</v>
      </c>
      <c r="AG98" s="125">
        <f t="shared" si="44"/>
        <v>0</v>
      </c>
      <c r="AH98" s="125">
        <f t="shared" si="44"/>
        <v>0</v>
      </c>
      <c r="AI98" s="125">
        <f t="shared" si="44"/>
        <v>0</v>
      </c>
    </row>
    <row r="99" spans="1:35" x14ac:dyDescent="0.25">
      <c r="A99" s="11" t="s">
        <v>585</v>
      </c>
      <c r="B99" s="63" t="s">
        <v>352</v>
      </c>
      <c r="C99" s="125">
        <f>+C170</f>
        <v>8837</v>
      </c>
      <c r="D99" s="125">
        <f t="shared" si="44"/>
        <v>9202</v>
      </c>
      <c r="E99" s="125">
        <f t="shared" si="44"/>
        <v>9581</v>
      </c>
      <c r="F99" s="125">
        <f t="shared" si="44"/>
        <v>9976</v>
      </c>
      <c r="G99" s="125">
        <f t="shared" si="44"/>
        <v>10388</v>
      </c>
      <c r="H99" s="125">
        <f t="shared" si="44"/>
        <v>10816</v>
      </c>
      <c r="I99" s="125">
        <f t="shared" si="44"/>
        <v>11262</v>
      </c>
      <c r="J99" s="125">
        <f t="shared" si="44"/>
        <v>11727</v>
      </c>
      <c r="K99" s="125">
        <f t="shared" si="44"/>
        <v>12211</v>
      </c>
      <c r="L99" s="125">
        <f t="shared" si="44"/>
        <v>12714</v>
      </c>
      <c r="M99" s="125">
        <f t="shared" si="44"/>
        <v>13238</v>
      </c>
      <c r="N99" s="125">
        <f t="shared" si="44"/>
        <v>13784</v>
      </c>
      <c r="O99" s="125">
        <f t="shared" si="44"/>
        <v>14353</v>
      </c>
      <c r="P99" s="125">
        <f t="shared" si="44"/>
        <v>14945</v>
      </c>
      <c r="Q99" s="125">
        <f t="shared" si="44"/>
        <v>15562</v>
      </c>
      <c r="R99" s="125">
        <f t="shared" si="44"/>
        <v>16204</v>
      </c>
      <c r="S99" s="125">
        <f t="shared" si="44"/>
        <v>16872</v>
      </c>
      <c r="T99" s="125">
        <f t="shared" si="44"/>
        <v>17568</v>
      </c>
      <c r="U99" s="125">
        <f t="shared" si="44"/>
        <v>18293</v>
      </c>
      <c r="V99" s="125">
        <f t="shared" si="44"/>
        <v>19048</v>
      </c>
      <c r="W99" s="125">
        <f t="shared" si="44"/>
        <v>19833</v>
      </c>
      <c r="X99" s="125">
        <f t="shared" si="44"/>
        <v>20651</v>
      </c>
      <c r="Y99" s="125">
        <f t="shared" si="44"/>
        <v>21503</v>
      </c>
      <c r="Z99" s="125">
        <f t="shared" si="44"/>
        <v>22390</v>
      </c>
      <c r="AA99" s="125">
        <f t="shared" si="44"/>
        <v>23314</v>
      </c>
      <c r="AB99" s="125">
        <f t="shared" si="44"/>
        <v>24275</v>
      </c>
      <c r="AC99" s="125">
        <f t="shared" si="44"/>
        <v>25277</v>
      </c>
      <c r="AD99" s="125">
        <f t="shared" si="44"/>
        <v>26319</v>
      </c>
      <c r="AE99" s="125">
        <f t="shared" si="44"/>
        <v>27405</v>
      </c>
      <c r="AF99" s="125">
        <f t="shared" si="44"/>
        <v>28535</v>
      </c>
      <c r="AG99" s="125">
        <f t="shared" si="44"/>
        <v>29528</v>
      </c>
      <c r="AH99" s="125">
        <f t="shared" si="44"/>
        <v>0</v>
      </c>
      <c r="AI99" s="125">
        <f t="shared" si="44"/>
        <v>0</v>
      </c>
    </row>
    <row r="100" spans="1:35" x14ac:dyDescent="0.25">
      <c r="A100" s="11" t="s">
        <v>586</v>
      </c>
      <c r="B100" s="12" t="s">
        <v>42</v>
      </c>
      <c r="C100" s="38">
        <v>0</v>
      </c>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row>
    <row r="101" spans="1:35" x14ac:dyDescent="0.25">
      <c r="A101" s="11" t="s">
        <v>896</v>
      </c>
      <c r="B101" s="12" t="s">
        <v>940</v>
      </c>
      <c r="C101" s="38">
        <v>60000</v>
      </c>
      <c r="D101" s="38">
        <v>60000</v>
      </c>
      <c r="E101" s="38">
        <v>65000</v>
      </c>
      <c r="F101" s="38">
        <v>65000</v>
      </c>
      <c r="G101" s="38">
        <v>70000</v>
      </c>
      <c r="H101" s="38">
        <v>70000</v>
      </c>
      <c r="I101" s="38">
        <v>75000</v>
      </c>
      <c r="J101" s="38">
        <v>75000</v>
      </c>
      <c r="K101" s="38">
        <v>80000</v>
      </c>
      <c r="L101" s="38">
        <v>80000</v>
      </c>
      <c r="M101" s="38">
        <v>85000</v>
      </c>
      <c r="N101" s="38">
        <v>90000</v>
      </c>
      <c r="O101" s="38">
        <v>90000</v>
      </c>
      <c r="P101" s="38">
        <v>95000</v>
      </c>
      <c r="Q101" s="38">
        <v>100000</v>
      </c>
      <c r="R101" s="38">
        <v>105000</v>
      </c>
      <c r="S101" s="38">
        <v>110000</v>
      </c>
      <c r="T101" s="38"/>
      <c r="U101" s="38"/>
      <c r="V101" s="38"/>
      <c r="W101" s="38"/>
      <c r="X101" s="38"/>
      <c r="Y101" s="38"/>
      <c r="Z101" s="38"/>
      <c r="AA101" s="38"/>
      <c r="AB101" s="38"/>
      <c r="AC101" s="38"/>
      <c r="AD101" s="38"/>
      <c r="AE101" s="38"/>
      <c r="AF101" s="38"/>
      <c r="AG101" s="38"/>
      <c r="AH101" s="38"/>
      <c r="AI101" s="38"/>
    </row>
    <row r="102" spans="1:35" x14ac:dyDescent="0.25">
      <c r="A102" s="11" t="s">
        <v>1027</v>
      </c>
      <c r="B102" s="12" t="s">
        <v>1023</v>
      </c>
      <c r="C102" s="412">
        <v>67501</v>
      </c>
      <c r="D102" s="412">
        <v>64036</v>
      </c>
      <c r="E102" s="412">
        <v>65428</v>
      </c>
      <c r="F102" s="412">
        <v>66850</v>
      </c>
      <c r="G102" s="412">
        <v>68302</v>
      </c>
      <c r="H102" s="412">
        <v>69787</v>
      </c>
      <c r="I102" s="412">
        <v>71304</v>
      </c>
      <c r="J102" s="412">
        <v>72853</v>
      </c>
      <c r="K102" s="412">
        <v>74437</v>
      </c>
      <c r="L102" s="412">
        <v>76054</v>
      </c>
      <c r="M102" s="412">
        <v>77707</v>
      </c>
      <c r="N102" s="412">
        <v>79396</v>
      </c>
      <c r="O102" s="412">
        <v>8122</v>
      </c>
      <c r="P102" s="412">
        <v>82885</v>
      </c>
      <c r="Q102" s="412">
        <v>84686</v>
      </c>
      <c r="R102" s="412">
        <v>86527</v>
      </c>
      <c r="S102" s="412">
        <v>88407</v>
      </c>
      <c r="T102" s="412">
        <v>90329</v>
      </c>
      <c r="U102" s="412">
        <v>92292</v>
      </c>
      <c r="V102" s="412">
        <v>94298</v>
      </c>
      <c r="W102" s="412">
        <v>96347</v>
      </c>
      <c r="X102" s="38"/>
      <c r="Y102" s="38"/>
      <c r="Z102" s="38"/>
      <c r="AA102" s="38"/>
      <c r="AB102" s="38"/>
      <c r="AC102" s="38"/>
      <c r="AD102" s="38"/>
      <c r="AE102" s="38"/>
      <c r="AF102" s="38"/>
      <c r="AG102" s="38"/>
      <c r="AH102" s="38"/>
      <c r="AI102" s="38"/>
    </row>
    <row r="103" spans="1:35" x14ac:dyDescent="0.25">
      <c r="A103" s="11" t="s">
        <v>1042</v>
      </c>
      <c r="B103" s="12" t="s">
        <v>1044</v>
      </c>
      <c r="C103" s="412"/>
      <c r="D103" s="125"/>
      <c r="E103" s="125"/>
      <c r="F103" s="125"/>
      <c r="G103" s="125"/>
      <c r="H103" s="125"/>
      <c r="I103" s="125"/>
      <c r="J103" s="125"/>
      <c r="K103" s="125"/>
      <c r="L103" s="125"/>
      <c r="M103" s="125"/>
      <c r="N103" s="125"/>
      <c r="O103" s="125"/>
      <c r="P103" s="125"/>
      <c r="Q103" s="125"/>
      <c r="R103" s="125"/>
      <c r="S103" s="125"/>
      <c r="T103" s="125"/>
      <c r="U103" s="125"/>
      <c r="V103" s="125"/>
      <c r="W103" s="38"/>
      <c r="X103" s="38"/>
      <c r="Y103" s="38"/>
      <c r="Z103" s="38"/>
      <c r="AA103" s="38"/>
      <c r="AB103" s="38"/>
      <c r="AC103" s="38"/>
      <c r="AD103" s="38"/>
      <c r="AE103" s="38"/>
      <c r="AF103" s="38"/>
      <c r="AG103" s="38"/>
      <c r="AH103" s="38"/>
      <c r="AI103" s="38"/>
    </row>
    <row r="104" spans="1:35" x14ac:dyDescent="0.25">
      <c r="A104" s="11" t="s">
        <v>1043</v>
      </c>
      <c r="B104" s="12" t="s">
        <v>1045</v>
      </c>
      <c r="C104" s="412"/>
      <c r="D104" s="125"/>
      <c r="E104" s="125"/>
      <c r="F104" s="125"/>
      <c r="G104" s="125"/>
      <c r="H104" s="125"/>
      <c r="I104" s="125"/>
      <c r="J104" s="125"/>
      <c r="K104" s="125"/>
      <c r="L104" s="125"/>
      <c r="M104" s="125"/>
      <c r="N104" s="125"/>
      <c r="O104" s="125"/>
      <c r="P104" s="125"/>
      <c r="Q104" s="125"/>
      <c r="R104" s="125"/>
      <c r="S104" s="125"/>
      <c r="T104" s="125"/>
      <c r="U104" s="125"/>
      <c r="V104" s="125"/>
      <c r="W104" s="38"/>
      <c r="X104" s="38"/>
      <c r="Y104" s="38"/>
      <c r="Z104" s="38"/>
      <c r="AA104" s="38"/>
      <c r="AB104" s="38"/>
      <c r="AC104" s="38"/>
      <c r="AD104" s="38"/>
      <c r="AE104" s="38"/>
      <c r="AF104" s="38"/>
      <c r="AG104" s="38"/>
      <c r="AH104" s="38"/>
      <c r="AI104" s="38"/>
    </row>
    <row r="105" spans="1:35" x14ac:dyDescent="0.25">
      <c r="A105" s="11" t="s">
        <v>1106</v>
      </c>
      <c r="B105" s="12" t="s">
        <v>1102</v>
      </c>
      <c r="C105" s="412"/>
      <c r="D105" s="125"/>
      <c r="E105" s="125"/>
      <c r="F105" s="125"/>
      <c r="G105" s="125"/>
      <c r="H105" s="125"/>
      <c r="I105" s="125"/>
      <c r="J105" s="125"/>
      <c r="K105" s="125"/>
      <c r="L105" s="125"/>
      <c r="M105" s="125"/>
      <c r="N105" s="125"/>
      <c r="O105" s="125"/>
      <c r="P105" s="125"/>
      <c r="Q105" s="125"/>
      <c r="R105" s="125"/>
      <c r="S105" s="125"/>
      <c r="T105" s="125"/>
      <c r="U105" s="125"/>
      <c r="V105" s="125"/>
      <c r="W105" s="38"/>
      <c r="X105" s="38"/>
      <c r="Y105" s="38"/>
      <c r="Z105" s="38"/>
      <c r="AA105" s="38"/>
      <c r="AB105" s="38"/>
      <c r="AC105" s="38"/>
      <c r="AD105" s="38"/>
      <c r="AE105" s="38"/>
      <c r="AF105" s="38"/>
      <c r="AG105" s="38"/>
      <c r="AH105" s="38"/>
      <c r="AI105" s="38"/>
    </row>
    <row r="106" spans="1:35" x14ac:dyDescent="0.25">
      <c r="A106" s="11" t="s">
        <v>1109</v>
      </c>
      <c r="B106" s="12" t="s">
        <v>1105</v>
      </c>
      <c r="C106" s="412"/>
      <c r="D106" s="125">
        <v>5000</v>
      </c>
      <c r="E106" s="125"/>
      <c r="F106" s="125"/>
      <c r="G106" s="125"/>
      <c r="H106" s="125"/>
      <c r="I106" s="125"/>
      <c r="J106" s="125"/>
      <c r="K106" s="125"/>
      <c r="L106" s="125"/>
      <c r="M106" s="125"/>
      <c r="N106" s="125"/>
      <c r="O106" s="125"/>
      <c r="P106" s="125"/>
      <c r="Q106" s="125"/>
      <c r="R106" s="125"/>
      <c r="S106" s="125"/>
      <c r="T106" s="125"/>
      <c r="U106" s="125"/>
      <c r="V106" s="125"/>
      <c r="W106" s="38"/>
      <c r="X106" s="38"/>
      <c r="Y106" s="38"/>
      <c r="Z106" s="38"/>
      <c r="AA106" s="38"/>
      <c r="AB106" s="38"/>
      <c r="AC106" s="38"/>
      <c r="AD106" s="38"/>
      <c r="AE106" s="38"/>
      <c r="AF106" s="38"/>
      <c r="AG106" s="38"/>
      <c r="AH106" s="38"/>
      <c r="AI106" s="38"/>
    </row>
    <row r="107" spans="1:35" x14ac:dyDescent="0.25">
      <c r="A107" s="11"/>
      <c r="B107" s="12"/>
      <c r="C107" s="412"/>
      <c r="D107" s="125"/>
      <c r="E107" s="125"/>
      <c r="F107" s="125"/>
      <c r="G107" s="125"/>
      <c r="H107" s="125"/>
      <c r="I107" s="125"/>
      <c r="J107" s="125"/>
      <c r="K107" s="125"/>
      <c r="L107" s="125"/>
      <c r="M107" s="125"/>
      <c r="N107" s="125"/>
      <c r="O107" s="125"/>
      <c r="P107" s="125"/>
      <c r="Q107" s="125"/>
      <c r="R107" s="125"/>
      <c r="S107" s="125"/>
      <c r="T107" s="125"/>
      <c r="U107" s="125"/>
      <c r="V107" s="125"/>
      <c r="W107" s="38"/>
      <c r="X107" s="38"/>
      <c r="Y107" s="38"/>
      <c r="Z107" s="38"/>
      <c r="AA107" s="38"/>
      <c r="AB107" s="38"/>
      <c r="AC107" s="38"/>
      <c r="AD107" s="38"/>
      <c r="AE107" s="38"/>
      <c r="AF107" s="38"/>
      <c r="AG107" s="38"/>
      <c r="AH107" s="38"/>
      <c r="AI107" s="38"/>
    </row>
    <row r="108" spans="1:35" ht="13.8" thickBot="1" x14ac:dyDescent="0.3">
      <c r="A108" s="11"/>
      <c r="B108" s="98" t="s">
        <v>1121</v>
      </c>
      <c r="C108" s="170"/>
      <c r="D108" s="170"/>
      <c r="E108" s="170"/>
      <c r="F108" s="170"/>
      <c r="G108" s="170"/>
      <c r="H108" s="170"/>
      <c r="I108" s="170"/>
      <c r="J108" s="170"/>
      <c r="K108" s="170"/>
      <c r="L108" s="170"/>
      <c r="M108" s="170"/>
      <c r="N108" s="170"/>
      <c r="O108" s="170"/>
      <c r="P108" s="170"/>
      <c r="Q108" s="170"/>
      <c r="R108" s="170"/>
      <c r="S108" s="170"/>
      <c r="T108" s="170"/>
      <c r="U108" s="170"/>
      <c r="V108" s="170"/>
      <c r="W108" s="170"/>
      <c r="X108" s="170"/>
      <c r="Y108" s="170"/>
      <c r="Z108" s="170"/>
      <c r="AA108" s="170"/>
      <c r="AB108" s="170"/>
      <c r="AC108" s="170"/>
      <c r="AD108" s="170"/>
      <c r="AE108" s="170"/>
      <c r="AF108" s="170"/>
      <c r="AG108" s="170"/>
      <c r="AH108" s="170"/>
      <c r="AI108" s="170"/>
    </row>
    <row r="109" spans="1:35" x14ac:dyDescent="0.25">
      <c r="A109" s="11" t="s">
        <v>520</v>
      </c>
      <c r="B109" s="12" t="s">
        <v>525</v>
      </c>
      <c r="C109" s="14">
        <f>4012.5+4012.5</f>
        <v>8025</v>
      </c>
      <c r="D109" s="14">
        <f>3337.5+3337.5</f>
        <v>6675</v>
      </c>
      <c r="E109" s="14">
        <f>2625+2625</f>
        <v>5250</v>
      </c>
      <c r="F109" s="14">
        <f>1875+1875</f>
        <v>3750</v>
      </c>
      <c r="G109" s="14">
        <f>1250+1250</f>
        <v>2500</v>
      </c>
      <c r="H109" s="14">
        <f>625+625</f>
        <v>1250</v>
      </c>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row>
    <row r="110" spans="1:35" x14ac:dyDescent="0.25">
      <c r="A110" s="11" t="s">
        <v>522</v>
      </c>
      <c r="B110" s="12" t="s">
        <v>526</v>
      </c>
      <c r="C110" s="38">
        <v>1213</v>
      </c>
      <c r="D110" s="38">
        <v>988</v>
      </c>
      <c r="E110" s="38">
        <v>750</v>
      </c>
      <c r="F110" s="38">
        <v>500</v>
      </c>
      <c r="G110" s="38">
        <v>250</v>
      </c>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row>
    <row r="111" spans="1:35" x14ac:dyDescent="0.25">
      <c r="A111" s="11" t="s">
        <v>518</v>
      </c>
      <c r="B111" s="12" t="s">
        <v>43</v>
      </c>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row>
    <row r="112" spans="1:35" x14ac:dyDescent="0.25">
      <c r="A112" s="11" t="s">
        <v>519</v>
      </c>
      <c r="B112" s="12" t="s">
        <v>45</v>
      </c>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row>
    <row r="113" spans="1:35" x14ac:dyDescent="0.25">
      <c r="A113" s="11" t="s">
        <v>404</v>
      </c>
      <c r="B113" s="12" t="s">
        <v>397</v>
      </c>
      <c r="C113" s="38">
        <f>2000+1800+400+300</f>
        <v>4500</v>
      </c>
      <c r="D113" s="38">
        <f>1800+1600+300+200</f>
        <v>3900</v>
      </c>
      <c r="E113" s="38">
        <f>1600+1400+200+100</f>
        <v>3300</v>
      </c>
      <c r="F113" s="38">
        <f>1400+1200+100</f>
        <v>2700</v>
      </c>
      <c r="G113" s="38">
        <v>2200</v>
      </c>
      <c r="H113" s="38">
        <v>1800</v>
      </c>
      <c r="I113" s="38">
        <v>1400</v>
      </c>
      <c r="J113" s="38">
        <v>1000</v>
      </c>
      <c r="K113" s="38">
        <v>600</v>
      </c>
      <c r="L113" s="38">
        <v>200</v>
      </c>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row>
    <row r="114" spans="1:35" x14ac:dyDescent="0.25">
      <c r="A114" s="11" t="s">
        <v>587</v>
      </c>
      <c r="B114" s="63" t="s">
        <v>36</v>
      </c>
      <c r="C114" s="253">
        <f t="shared" ref="C114:C119" si="46">+C173</f>
        <v>6400</v>
      </c>
      <c r="D114" s="253">
        <f t="shared" ref="D114:AI119" si="47">+D173</f>
        <v>5456</v>
      </c>
      <c r="E114" s="253">
        <f t="shared" si="47"/>
        <v>4861</v>
      </c>
      <c r="F114" s="253">
        <f t="shared" si="47"/>
        <v>4255</v>
      </c>
      <c r="G114" s="253">
        <f t="shared" si="47"/>
        <v>3635</v>
      </c>
      <c r="H114" s="253">
        <f t="shared" si="47"/>
        <v>3004</v>
      </c>
      <c r="I114" s="253">
        <f t="shared" si="47"/>
        <v>2359</v>
      </c>
      <c r="J114" s="253">
        <f t="shared" si="47"/>
        <v>1701</v>
      </c>
      <c r="K114" s="253">
        <f t="shared" si="47"/>
        <v>1030</v>
      </c>
      <c r="L114" s="253">
        <f t="shared" si="47"/>
        <v>346</v>
      </c>
      <c r="M114" s="253">
        <f t="shared" si="47"/>
        <v>0</v>
      </c>
      <c r="N114" s="253">
        <f t="shared" si="47"/>
        <v>0</v>
      </c>
      <c r="O114" s="253">
        <f t="shared" si="47"/>
        <v>0</v>
      </c>
      <c r="P114" s="253">
        <f t="shared" si="47"/>
        <v>0</v>
      </c>
      <c r="Q114" s="253">
        <f t="shared" si="47"/>
        <v>0</v>
      </c>
      <c r="R114" s="253">
        <f t="shared" si="47"/>
        <v>0</v>
      </c>
      <c r="S114" s="253">
        <f t="shared" si="47"/>
        <v>0</v>
      </c>
      <c r="T114" s="253">
        <f t="shared" si="47"/>
        <v>0</v>
      </c>
      <c r="U114" s="253">
        <f t="shared" si="47"/>
        <v>0</v>
      </c>
      <c r="V114" s="253">
        <f t="shared" si="47"/>
        <v>0</v>
      </c>
      <c r="W114" s="253">
        <f t="shared" si="47"/>
        <v>0</v>
      </c>
      <c r="X114" s="253">
        <f t="shared" si="47"/>
        <v>0</v>
      </c>
      <c r="Y114" s="253">
        <f t="shared" si="47"/>
        <v>0</v>
      </c>
      <c r="Z114" s="253">
        <f t="shared" si="47"/>
        <v>0</v>
      </c>
      <c r="AA114" s="253">
        <f t="shared" si="47"/>
        <v>0</v>
      </c>
      <c r="AB114" s="253">
        <f t="shared" si="47"/>
        <v>0</v>
      </c>
      <c r="AC114" s="253">
        <f t="shared" si="47"/>
        <v>0</v>
      </c>
      <c r="AD114" s="253">
        <f t="shared" si="47"/>
        <v>0</v>
      </c>
      <c r="AE114" s="253">
        <f t="shared" si="47"/>
        <v>0</v>
      </c>
      <c r="AF114" s="253">
        <f t="shared" si="47"/>
        <v>0</v>
      </c>
      <c r="AG114" s="253">
        <f t="shared" si="47"/>
        <v>0</v>
      </c>
      <c r="AH114" s="253">
        <f t="shared" si="47"/>
        <v>0</v>
      </c>
      <c r="AI114" s="253">
        <f t="shared" si="47"/>
        <v>0</v>
      </c>
    </row>
    <row r="115" spans="1:35" x14ac:dyDescent="0.25">
      <c r="A115" s="11" t="s">
        <v>588</v>
      </c>
      <c r="B115" s="63" t="s">
        <v>39</v>
      </c>
      <c r="C115" s="253">
        <f t="shared" si="46"/>
        <v>453</v>
      </c>
      <c r="D115" s="253">
        <f t="shared" ref="D115:R115" si="48">+D174</f>
        <v>410</v>
      </c>
      <c r="E115" s="253">
        <f t="shared" si="48"/>
        <v>365</v>
      </c>
      <c r="F115" s="253">
        <f t="shared" si="48"/>
        <v>319</v>
      </c>
      <c r="G115" s="253">
        <f t="shared" si="48"/>
        <v>273</v>
      </c>
      <c r="H115" s="253">
        <f t="shared" si="48"/>
        <v>226</v>
      </c>
      <c r="I115" s="253">
        <f t="shared" si="48"/>
        <v>177</v>
      </c>
      <c r="J115" s="253">
        <f t="shared" si="48"/>
        <v>128</v>
      </c>
      <c r="K115" s="253">
        <f t="shared" si="48"/>
        <v>77</v>
      </c>
      <c r="L115" s="253">
        <f t="shared" si="48"/>
        <v>266</v>
      </c>
      <c r="M115" s="253">
        <f t="shared" si="48"/>
        <v>0</v>
      </c>
      <c r="N115" s="253">
        <f t="shared" si="48"/>
        <v>0</v>
      </c>
      <c r="O115" s="253">
        <f t="shared" si="48"/>
        <v>0</v>
      </c>
      <c r="P115" s="253">
        <f t="shared" si="48"/>
        <v>0</v>
      </c>
      <c r="Q115" s="253">
        <f t="shared" si="48"/>
        <v>0</v>
      </c>
      <c r="R115" s="253">
        <f t="shared" si="48"/>
        <v>0</v>
      </c>
      <c r="S115" s="253">
        <f t="shared" si="47"/>
        <v>0</v>
      </c>
      <c r="T115" s="253">
        <f t="shared" si="47"/>
        <v>0</v>
      </c>
      <c r="U115" s="253">
        <f t="shared" si="47"/>
        <v>0</v>
      </c>
      <c r="V115" s="253">
        <f t="shared" si="47"/>
        <v>0</v>
      </c>
      <c r="W115" s="253">
        <f t="shared" si="47"/>
        <v>0</v>
      </c>
      <c r="X115" s="253">
        <f t="shared" si="47"/>
        <v>0</v>
      </c>
      <c r="Y115" s="253">
        <f t="shared" si="47"/>
        <v>0</v>
      </c>
      <c r="Z115" s="253">
        <f t="shared" si="47"/>
        <v>0</v>
      </c>
      <c r="AA115" s="253">
        <f t="shared" si="47"/>
        <v>0</v>
      </c>
      <c r="AB115" s="253">
        <f t="shared" si="47"/>
        <v>0</v>
      </c>
      <c r="AC115" s="253">
        <f t="shared" si="47"/>
        <v>0</v>
      </c>
      <c r="AD115" s="253">
        <f t="shared" si="47"/>
        <v>0</v>
      </c>
      <c r="AE115" s="253">
        <f t="shared" si="47"/>
        <v>0</v>
      </c>
      <c r="AF115" s="253">
        <f t="shared" si="47"/>
        <v>0</v>
      </c>
      <c r="AG115" s="253">
        <f t="shared" si="47"/>
        <v>0</v>
      </c>
      <c r="AH115" s="253">
        <f t="shared" si="47"/>
        <v>0</v>
      </c>
      <c r="AI115" s="253">
        <f t="shared" si="47"/>
        <v>0</v>
      </c>
    </row>
    <row r="116" spans="1:35" x14ac:dyDescent="0.25">
      <c r="A116" s="11" t="s">
        <v>589</v>
      </c>
      <c r="B116" s="63" t="s">
        <v>37</v>
      </c>
      <c r="C116" s="253">
        <f t="shared" si="46"/>
        <v>21081</v>
      </c>
      <c r="D116" s="253">
        <f t="shared" si="47"/>
        <v>20202</v>
      </c>
      <c r="E116" s="253">
        <f t="shared" si="47"/>
        <v>19381</v>
      </c>
      <c r="F116" s="253">
        <f t="shared" si="47"/>
        <v>18540</v>
      </c>
      <c r="G116" s="253">
        <f t="shared" si="47"/>
        <v>17678</v>
      </c>
      <c r="H116" s="253">
        <f t="shared" si="47"/>
        <v>16795</v>
      </c>
      <c r="I116" s="253">
        <f t="shared" si="47"/>
        <v>15890</v>
      </c>
      <c r="J116" s="253">
        <f t="shared" si="47"/>
        <v>14964</v>
      </c>
      <c r="K116" s="253">
        <f t="shared" si="47"/>
        <v>14015</v>
      </c>
      <c r="L116" s="253">
        <f t="shared" si="47"/>
        <v>13042</v>
      </c>
      <c r="M116" s="253">
        <f t="shared" si="47"/>
        <v>12046</v>
      </c>
      <c r="N116" s="253">
        <f t="shared" si="47"/>
        <v>11026</v>
      </c>
      <c r="O116" s="253">
        <f t="shared" si="47"/>
        <v>9980</v>
      </c>
      <c r="P116" s="253">
        <f t="shared" si="47"/>
        <v>8909</v>
      </c>
      <c r="Q116" s="253">
        <f t="shared" si="47"/>
        <v>7812</v>
      </c>
      <c r="R116" s="253">
        <f t="shared" si="47"/>
        <v>6688</v>
      </c>
      <c r="S116" s="253">
        <f t="shared" si="47"/>
        <v>5536</v>
      </c>
      <c r="T116" s="253">
        <f t="shared" si="47"/>
        <v>4357</v>
      </c>
      <c r="U116" s="253">
        <f t="shared" si="47"/>
        <v>3148</v>
      </c>
      <c r="V116" s="253">
        <f t="shared" si="47"/>
        <v>1910</v>
      </c>
      <c r="W116" s="253">
        <f t="shared" si="47"/>
        <v>642</v>
      </c>
      <c r="X116" s="253">
        <f t="shared" si="47"/>
        <v>0</v>
      </c>
      <c r="Y116" s="253">
        <f t="shared" si="47"/>
        <v>0</v>
      </c>
      <c r="Z116" s="253">
        <f t="shared" si="47"/>
        <v>0</v>
      </c>
      <c r="AA116" s="253">
        <f t="shared" si="47"/>
        <v>0</v>
      </c>
      <c r="AB116" s="253">
        <f t="shared" si="47"/>
        <v>0</v>
      </c>
      <c r="AC116" s="253">
        <f t="shared" si="47"/>
        <v>0</v>
      </c>
      <c r="AD116" s="253">
        <f t="shared" si="47"/>
        <v>0</v>
      </c>
      <c r="AE116" s="253">
        <f t="shared" si="47"/>
        <v>0</v>
      </c>
      <c r="AF116" s="253">
        <f t="shared" si="47"/>
        <v>0</v>
      </c>
      <c r="AG116" s="253">
        <f t="shared" si="47"/>
        <v>0</v>
      </c>
      <c r="AH116" s="253">
        <f t="shared" si="47"/>
        <v>0</v>
      </c>
      <c r="AI116" s="253">
        <f t="shared" si="47"/>
        <v>0</v>
      </c>
    </row>
    <row r="117" spans="1:35" x14ac:dyDescent="0.25">
      <c r="A117" s="11" t="s">
        <v>590</v>
      </c>
      <c r="B117" s="63" t="s">
        <v>40</v>
      </c>
      <c r="C117" s="253">
        <f t="shared" si="46"/>
        <v>1306</v>
      </c>
      <c r="D117" s="253">
        <f t="shared" si="47"/>
        <v>1256</v>
      </c>
      <c r="E117" s="253">
        <f t="shared" si="47"/>
        <v>1205</v>
      </c>
      <c r="F117" s="253">
        <f t="shared" si="47"/>
        <v>1152</v>
      </c>
      <c r="G117" s="253">
        <f t="shared" si="47"/>
        <v>1099</v>
      </c>
      <c r="H117" s="253">
        <f t="shared" si="47"/>
        <v>1044</v>
      </c>
      <c r="I117" s="253">
        <f t="shared" si="47"/>
        <v>988</v>
      </c>
      <c r="J117" s="253">
        <f t="shared" si="47"/>
        <v>870</v>
      </c>
      <c r="K117" s="253">
        <f t="shared" si="47"/>
        <v>871</v>
      </c>
      <c r="L117" s="253">
        <f t="shared" si="47"/>
        <v>811</v>
      </c>
      <c r="M117" s="253">
        <f t="shared" si="47"/>
        <v>749</v>
      </c>
      <c r="N117" s="253">
        <f t="shared" si="47"/>
        <v>685</v>
      </c>
      <c r="O117" s="253">
        <f t="shared" si="47"/>
        <v>620</v>
      </c>
      <c r="P117" s="253">
        <f t="shared" si="47"/>
        <v>554</v>
      </c>
      <c r="Q117" s="253">
        <f t="shared" si="47"/>
        <v>485</v>
      </c>
      <c r="R117" s="253">
        <f t="shared" si="47"/>
        <v>416</v>
      </c>
      <c r="S117" s="253">
        <f t="shared" si="47"/>
        <v>344</v>
      </c>
      <c r="T117" s="253">
        <f t="shared" si="47"/>
        <v>271</v>
      </c>
      <c r="U117" s="253">
        <f t="shared" si="47"/>
        <v>196</v>
      </c>
      <c r="V117" s="253">
        <f t="shared" si="47"/>
        <v>119</v>
      </c>
      <c r="W117" s="253">
        <f t="shared" si="47"/>
        <v>40</v>
      </c>
      <c r="X117" s="253">
        <f t="shared" si="47"/>
        <v>0</v>
      </c>
      <c r="Y117" s="253">
        <f t="shared" si="47"/>
        <v>0</v>
      </c>
      <c r="Z117" s="253">
        <f t="shared" si="47"/>
        <v>0</v>
      </c>
      <c r="AA117" s="253">
        <f t="shared" si="47"/>
        <v>0</v>
      </c>
      <c r="AB117" s="253">
        <f t="shared" si="47"/>
        <v>0</v>
      </c>
      <c r="AC117" s="253">
        <f t="shared" si="47"/>
        <v>0</v>
      </c>
      <c r="AD117" s="253">
        <f t="shared" si="47"/>
        <v>0</v>
      </c>
      <c r="AE117" s="253">
        <f t="shared" si="47"/>
        <v>0</v>
      </c>
      <c r="AF117" s="253">
        <f t="shared" si="47"/>
        <v>0</v>
      </c>
      <c r="AG117" s="253">
        <f t="shared" si="47"/>
        <v>0</v>
      </c>
      <c r="AH117" s="253">
        <f t="shared" si="47"/>
        <v>0</v>
      </c>
      <c r="AI117" s="253">
        <f t="shared" si="47"/>
        <v>0</v>
      </c>
    </row>
    <row r="118" spans="1:35" x14ac:dyDescent="0.25">
      <c r="A118" s="11" t="s">
        <v>591</v>
      </c>
      <c r="B118" s="63" t="s">
        <v>38</v>
      </c>
      <c r="C118" s="253">
        <f t="shared" si="46"/>
        <v>23789</v>
      </c>
      <c r="D118" s="253">
        <f t="shared" si="47"/>
        <v>23366</v>
      </c>
      <c r="E118" s="253">
        <f t="shared" si="47"/>
        <v>22925</v>
      </c>
      <c r="F118" s="253">
        <f t="shared" si="47"/>
        <v>22465</v>
      </c>
      <c r="G118" s="253">
        <f t="shared" si="47"/>
        <v>21983</v>
      </c>
      <c r="H118" s="253">
        <f t="shared" si="47"/>
        <v>21482</v>
      </c>
      <c r="I118" s="253">
        <f t="shared" si="47"/>
        <v>20958</v>
      </c>
      <c r="J118" s="253">
        <f t="shared" si="47"/>
        <v>20411</v>
      </c>
      <c r="K118" s="253">
        <f t="shared" si="47"/>
        <v>19841</v>
      </c>
      <c r="L118" s="253">
        <f t="shared" si="47"/>
        <v>19245</v>
      </c>
      <c r="M118" s="253">
        <f t="shared" si="47"/>
        <v>18623</v>
      </c>
      <c r="N118" s="253">
        <f t="shared" si="47"/>
        <v>17974</v>
      </c>
      <c r="O118" s="253">
        <f t="shared" si="47"/>
        <v>17297</v>
      </c>
      <c r="P118" s="253">
        <f t="shared" si="47"/>
        <v>16590</v>
      </c>
      <c r="Q118" s="253">
        <f t="shared" si="47"/>
        <v>15853</v>
      </c>
      <c r="R118" s="253">
        <f t="shared" si="47"/>
        <v>15082</v>
      </c>
      <c r="S118" s="253">
        <f t="shared" si="47"/>
        <v>14279</v>
      </c>
      <c r="T118" s="253">
        <f t="shared" si="47"/>
        <v>13439</v>
      </c>
      <c r="U118" s="253">
        <f t="shared" si="47"/>
        <v>12564</v>
      </c>
      <c r="V118" s="253">
        <f t="shared" si="47"/>
        <v>11650</v>
      </c>
      <c r="W118" s="253">
        <f t="shared" si="47"/>
        <v>10696</v>
      </c>
      <c r="X118" s="253">
        <f t="shared" si="47"/>
        <v>9700</v>
      </c>
      <c r="Y118" s="253">
        <f t="shared" si="47"/>
        <v>8661</v>
      </c>
      <c r="Z118" s="253">
        <f t="shared" si="47"/>
        <v>7577</v>
      </c>
      <c r="AA118" s="253">
        <f t="shared" si="47"/>
        <v>6445</v>
      </c>
      <c r="AB118" s="253">
        <f t="shared" si="47"/>
        <v>5263</v>
      </c>
      <c r="AC118" s="253">
        <f t="shared" si="47"/>
        <v>4029</v>
      </c>
      <c r="AD118" s="253">
        <f t="shared" si="47"/>
        <v>2742</v>
      </c>
      <c r="AE118" s="253">
        <f t="shared" si="47"/>
        <v>1398</v>
      </c>
      <c r="AF118" s="253">
        <f t="shared" si="47"/>
        <v>0</v>
      </c>
      <c r="AG118" s="253">
        <f t="shared" si="47"/>
        <v>0</v>
      </c>
      <c r="AH118" s="253">
        <f t="shared" si="47"/>
        <v>0</v>
      </c>
      <c r="AI118" s="253">
        <f t="shared" si="47"/>
        <v>0</v>
      </c>
    </row>
    <row r="119" spans="1:35" x14ac:dyDescent="0.25">
      <c r="A119" s="11" t="s">
        <v>592</v>
      </c>
      <c r="B119" s="63" t="s">
        <v>352</v>
      </c>
      <c r="C119" s="253">
        <f t="shared" si="46"/>
        <v>22094</v>
      </c>
      <c r="D119" s="253">
        <f t="shared" si="47"/>
        <v>21729</v>
      </c>
      <c r="E119" s="253">
        <f t="shared" si="47"/>
        <v>21350</v>
      </c>
      <c r="F119" s="253">
        <f t="shared" si="47"/>
        <v>20954</v>
      </c>
      <c r="G119" s="253">
        <f t="shared" si="47"/>
        <v>20543</v>
      </c>
      <c r="H119" s="253">
        <f t="shared" si="47"/>
        <v>20114</v>
      </c>
      <c r="I119" s="253">
        <f t="shared" si="47"/>
        <v>19669</v>
      </c>
      <c r="J119" s="253">
        <f t="shared" si="47"/>
        <v>19204</v>
      </c>
      <c r="K119" s="253">
        <f t="shared" si="47"/>
        <v>18720</v>
      </c>
      <c r="L119" s="253">
        <f t="shared" si="47"/>
        <v>18217</v>
      </c>
      <c r="M119" s="253">
        <f t="shared" si="47"/>
        <v>17692</v>
      </c>
      <c r="N119" s="253">
        <f t="shared" si="47"/>
        <v>17146</v>
      </c>
      <c r="O119" s="253">
        <f t="shared" si="47"/>
        <v>16577</v>
      </c>
      <c r="P119" s="253">
        <f t="shared" si="47"/>
        <v>15985</v>
      </c>
      <c r="Q119" s="253">
        <f t="shared" si="47"/>
        <v>15369</v>
      </c>
      <c r="R119" s="253">
        <f t="shared" si="47"/>
        <v>14727</v>
      </c>
      <c r="S119" s="253">
        <f t="shared" si="47"/>
        <v>14059</v>
      </c>
      <c r="T119" s="253">
        <f t="shared" si="47"/>
        <v>13363</v>
      </c>
      <c r="U119" s="253">
        <f t="shared" si="47"/>
        <v>12638</v>
      </c>
      <c r="V119" s="253">
        <f t="shared" si="47"/>
        <v>11883</v>
      </c>
      <c r="W119" s="253">
        <f t="shared" si="47"/>
        <v>11098</v>
      </c>
      <c r="X119" s="253">
        <f t="shared" si="47"/>
        <v>10280</v>
      </c>
      <c r="Y119" s="253">
        <f t="shared" si="47"/>
        <v>9428</v>
      </c>
      <c r="Z119" s="253">
        <f t="shared" si="47"/>
        <v>8540</v>
      </c>
      <c r="AA119" s="253">
        <f t="shared" si="47"/>
        <v>7617</v>
      </c>
      <c r="AB119" s="253">
        <f t="shared" si="47"/>
        <v>6655</v>
      </c>
      <c r="AC119" s="253">
        <f t="shared" si="47"/>
        <v>5654</v>
      </c>
      <c r="AD119" s="253">
        <f t="shared" si="47"/>
        <v>4612</v>
      </c>
      <c r="AE119" s="253">
        <f t="shared" si="47"/>
        <v>3526</v>
      </c>
      <c r="AF119" s="253">
        <f t="shared" si="47"/>
        <v>2395</v>
      </c>
      <c r="AG119" s="253">
        <f t="shared" si="47"/>
        <v>1218</v>
      </c>
      <c r="AH119" s="253">
        <f t="shared" si="47"/>
        <v>0</v>
      </c>
      <c r="AI119" s="253">
        <f t="shared" si="47"/>
        <v>0</v>
      </c>
    </row>
    <row r="120" spans="1:35" x14ac:dyDescent="0.25">
      <c r="A120" s="11" t="s">
        <v>593</v>
      </c>
      <c r="B120" s="12" t="s">
        <v>42</v>
      </c>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row>
    <row r="121" spans="1:35" x14ac:dyDescent="0.25">
      <c r="A121" s="11" t="s">
        <v>594</v>
      </c>
      <c r="B121" s="12" t="s">
        <v>44</v>
      </c>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row>
    <row r="122" spans="1:35" x14ac:dyDescent="0.25">
      <c r="A122" s="11" t="s">
        <v>897</v>
      </c>
      <c r="B122" s="12" t="s">
        <v>940</v>
      </c>
      <c r="C122" s="38">
        <v>49100</v>
      </c>
      <c r="D122" s="38">
        <v>47300</v>
      </c>
      <c r="E122" s="38">
        <v>45500</v>
      </c>
      <c r="F122" s="38">
        <v>43550</v>
      </c>
      <c r="G122" s="38">
        <v>41600</v>
      </c>
      <c r="H122" s="38">
        <v>39500</v>
      </c>
      <c r="I122" s="38">
        <v>37400</v>
      </c>
      <c r="J122" s="38">
        <v>35150</v>
      </c>
      <c r="K122" s="38">
        <v>32338</v>
      </c>
      <c r="L122" s="38">
        <v>29338</v>
      </c>
      <c r="M122" s="38">
        <v>26338</v>
      </c>
      <c r="N122" s="38">
        <v>23150</v>
      </c>
      <c r="O122" s="38">
        <v>19775</v>
      </c>
      <c r="P122" s="38">
        <v>16400</v>
      </c>
      <c r="Q122" s="38">
        <v>12600</v>
      </c>
      <c r="R122" s="38">
        <v>8600</v>
      </c>
      <c r="S122" s="38">
        <v>4400</v>
      </c>
      <c r="T122" s="38"/>
      <c r="U122" s="38"/>
      <c r="V122" s="38"/>
      <c r="W122" s="38"/>
      <c r="X122" s="38"/>
      <c r="Y122" s="38"/>
      <c r="Z122" s="38"/>
      <c r="AA122" s="38"/>
      <c r="AB122" s="38"/>
      <c r="AC122" s="38"/>
      <c r="AD122" s="38"/>
      <c r="AE122" s="38"/>
      <c r="AF122" s="38"/>
      <c r="AG122" s="38"/>
      <c r="AH122" s="38"/>
      <c r="AI122" s="38"/>
    </row>
    <row r="123" spans="1:35" x14ac:dyDescent="0.25">
      <c r="A123" s="11" t="s">
        <v>1025</v>
      </c>
      <c r="B123" s="12" t="s">
        <v>1023</v>
      </c>
      <c r="C123" s="412">
        <f>21136.47+19510.69</f>
        <v>40647.160000000003</v>
      </c>
      <c r="D123" s="412">
        <v>26385</v>
      </c>
      <c r="E123" s="412">
        <v>30381</v>
      </c>
      <c r="F123" s="412">
        <v>29072</v>
      </c>
      <c r="G123" s="412">
        <v>27735</v>
      </c>
      <c r="H123" s="412">
        <v>26369</v>
      </c>
      <c r="I123" s="412">
        <v>24973</v>
      </c>
      <c r="J123" s="412">
        <v>23547</v>
      </c>
      <c r="K123" s="412">
        <v>22090</v>
      </c>
      <c r="L123" s="412">
        <v>20601</v>
      </c>
      <c r="M123" s="412">
        <v>19080</v>
      </c>
      <c r="N123" s="412">
        <v>17526</v>
      </c>
      <c r="O123" s="412">
        <v>15938</v>
      </c>
      <c r="P123" s="412">
        <v>14316</v>
      </c>
      <c r="Q123" s="412">
        <v>12658</v>
      </c>
      <c r="R123" s="412">
        <v>10964</v>
      </c>
      <c r="S123" s="412">
        <v>9234</v>
      </c>
      <c r="T123" s="412">
        <v>7465.32</v>
      </c>
      <c r="U123" s="412">
        <v>5659</v>
      </c>
      <c r="V123" s="412">
        <v>2193</v>
      </c>
      <c r="W123" s="412">
        <v>1806.94</v>
      </c>
      <c r="X123" s="38"/>
      <c r="Y123" s="38"/>
      <c r="Z123" s="38"/>
      <c r="AA123" s="38"/>
      <c r="AB123" s="38"/>
      <c r="AC123" s="38"/>
      <c r="AD123" s="38"/>
      <c r="AE123" s="38"/>
      <c r="AF123" s="38"/>
      <c r="AG123" s="38"/>
      <c r="AH123" s="38"/>
      <c r="AI123" s="38"/>
    </row>
    <row r="124" spans="1:35" x14ac:dyDescent="0.25">
      <c r="A124" s="11" t="s">
        <v>1026</v>
      </c>
      <c r="B124" s="12" t="s">
        <v>1024</v>
      </c>
      <c r="C124" s="412">
        <f>1463.29+1463.29+10730.82</f>
        <v>13657.4</v>
      </c>
      <c r="D124" s="412">
        <f>8707+2375</f>
        <v>11082</v>
      </c>
      <c r="E124" s="412">
        <v>2279</v>
      </c>
      <c r="F124" s="412">
        <v>2181</v>
      </c>
      <c r="G124" s="412">
        <v>2081</v>
      </c>
      <c r="H124" s="412">
        <v>1978</v>
      </c>
      <c r="I124" s="412">
        <v>1873</v>
      </c>
      <c r="J124" s="412">
        <v>1766</v>
      </c>
      <c r="K124" s="412">
        <v>1657</v>
      </c>
      <c r="L124" s="412">
        <v>1546</v>
      </c>
      <c r="M124" s="412">
        <v>1431</v>
      </c>
      <c r="N124" s="412">
        <v>1315</v>
      </c>
      <c r="O124" s="412">
        <v>1196</v>
      </c>
      <c r="P124" s="412">
        <v>1074</v>
      </c>
      <c r="Q124" s="412">
        <v>950</v>
      </c>
      <c r="R124" s="577">
        <v>823</v>
      </c>
      <c r="S124" s="412">
        <v>693</v>
      </c>
      <c r="T124" s="412">
        <v>560</v>
      </c>
      <c r="U124" s="412">
        <v>425</v>
      </c>
      <c r="V124" s="412">
        <v>286</v>
      </c>
      <c r="W124" s="412">
        <v>145</v>
      </c>
      <c r="X124" s="38"/>
      <c r="Y124" s="38"/>
      <c r="Z124" s="38"/>
      <c r="AA124" s="38"/>
      <c r="AB124" s="38"/>
      <c r="AC124" s="38"/>
      <c r="AD124" s="38"/>
      <c r="AE124" s="38"/>
      <c r="AF124" s="38"/>
      <c r="AG124" s="38"/>
      <c r="AH124" s="38"/>
      <c r="AI124" s="38"/>
    </row>
    <row r="125" spans="1:35" x14ac:dyDescent="0.25">
      <c r="A125" s="11" t="s">
        <v>1103</v>
      </c>
      <c r="B125" s="12" t="s">
        <v>1044</v>
      </c>
      <c r="C125" s="412"/>
      <c r="D125" s="125"/>
      <c r="E125" s="125"/>
      <c r="F125" s="125"/>
      <c r="G125" s="125"/>
      <c r="H125" s="125"/>
      <c r="I125" s="125"/>
      <c r="J125" s="125"/>
      <c r="K125" s="125"/>
      <c r="L125" s="125"/>
      <c r="M125" s="125"/>
      <c r="N125" s="125"/>
      <c r="O125" s="125"/>
      <c r="P125" s="125"/>
      <c r="Q125" s="125"/>
      <c r="R125" s="125"/>
      <c r="S125" s="125"/>
      <c r="T125" s="125"/>
      <c r="U125" s="125"/>
      <c r="V125" s="125"/>
      <c r="W125" s="38"/>
      <c r="X125" s="38"/>
      <c r="Y125" s="38"/>
      <c r="Z125" s="38"/>
      <c r="AA125" s="38"/>
      <c r="AB125" s="38"/>
      <c r="AC125" s="38"/>
      <c r="AD125" s="38"/>
      <c r="AE125" s="38"/>
      <c r="AF125" s="38"/>
      <c r="AG125" s="38"/>
      <c r="AH125" s="38"/>
      <c r="AI125" s="38"/>
    </row>
    <row r="126" spans="1:35" x14ac:dyDescent="0.25">
      <c r="A126" s="11" t="s">
        <v>1104</v>
      </c>
      <c r="B126" s="12" t="s">
        <v>1045</v>
      </c>
      <c r="C126" s="412"/>
      <c r="D126" s="125"/>
      <c r="E126" s="125"/>
      <c r="F126" s="125"/>
      <c r="G126" s="125"/>
      <c r="H126" s="125"/>
      <c r="I126" s="125"/>
      <c r="J126" s="125"/>
      <c r="K126" s="125"/>
      <c r="L126" s="125"/>
      <c r="M126" s="125"/>
      <c r="N126" s="125"/>
      <c r="O126" s="125"/>
      <c r="P126" s="125"/>
      <c r="Q126" s="125"/>
      <c r="R126" s="125"/>
      <c r="S126" s="125"/>
      <c r="T126" s="125"/>
      <c r="U126" s="125"/>
      <c r="V126" s="125"/>
      <c r="W126" s="38"/>
      <c r="X126" s="38"/>
      <c r="Y126" s="38"/>
      <c r="Z126" s="38"/>
      <c r="AA126" s="38"/>
      <c r="AB126" s="38"/>
      <c r="AC126" s="38"/>
      <c r="AD126" s="38"/>
      <c r="AE126" s="38"/>
      <c r="AF126" s="38"/>
      <c r="AG126" s="38"/>
      <c r="AH126" s="38"/>
      <c r="AI126" s="38"/>
    </row>
    <row r="127" spans="1:35" x14ac:dyDescent="0.25">
      <c r="A127" s="11" t="s">
        <v>1107</v>
      </c>
      <c r="B127" s="12" t="s">
        <v>1102</v>
      </c>
      <c r="C127" s="412"/>
      <c r="D127" s="125"/>
      <c r="E127" s="125"/>
      <c r="F127" s="125"/>
      <c r="G127" s="125"/>
      <c r="H127" s="125"/>
      <c r="I127" s="125"/>
      <c r="J127" s="125"/>
      <c r="K127" s="125"/>
      <c r="L127" s="125"/>
      <c r="M127" s="125"/>
      <c r="N127" s="125"/>
      <c r="O127" s="125"/>
      <c r="P127" s="125"/>
      <c r="Q127" s="125"/>
      <c r="R127" s="125"/>
      <c r="S127" s="125"/>
      <c r="T127" s="125"/>
      <c r="U127" s="125"/>
      <c r="V127" s="125"/>
      <c r="W127" s="38"/>
      <c r="X127" s="38"/>
      <c r="Y127" s="38"/>
      <c r="Z127" s="38"/>
      <c r="AA127" s="38"/>
      <c r="AB127" s="38"/>
      <c r="AC127" s="38"/>
      <c r="AD127" s="38"/>
      <c r="AE127" s="38"/>
      <c r="AF127" s="38"/>
      <c r="AG127" s="38"/>
      <c r="AH127" s="38"/>
      <c r="AI127" s="38"/>
    </row>
    <row r="128" spans="1:35" x14ac:dyDescent="0.25">
      <c r="A128" s="11" t="s">
        <v>1108</v>
      </c>
      <c r="B128" s="12" t="s">
        <v>1105</v>
      </c>
      <c r="C128" s="412"/>
      <c r="D128" s="125"/>
      <c r="E128" s="125"/>
      <c r="F128" s="125"/>
      <c r="G128" s="125"/>
      <c r="H128" s="125"/>
      <c r="I128" s="125"/>
      <c r="J128" s="125"/>
      <c r="K128" s="125"/>
      <c r="L128" s="125"/>
      <c r="M128" s="125"/>
      <c r="N128" s="125"/>
      <c r="O128" s="125"/>
      <c r="P128" s="125"/>
      <c r="Q128" s="125"/>
      <c r="R128" s="125"/>
      <c r="S128" s="125"/>
      <c r="T128" s="125"/>
      <c r="U128" s="125"/>
      <c r="V128" s="125"/>
      <c r="W128" s="38"/>
      <c r="X128" s="38"/>
      <c r="Y128" s="38"/>
      <c r="Z128" s="38"/>
      <c r="AA128" s="38"/>
      <c r="AB128" s="38"/>
      <c r="AC128" s="38"/>
      <c r="AD128" s="38"/>
      <c r="AE128" s="38"/>
      <c r="AF128" s="38"/>
      <c r="AG128" s="38"/>
      <c r="AH128" s="38"/>
      <c r="AI128" s="38"/>
    </row>
    <row r="129" spans="1:35" x14ac:dyDescent="0.25">
      <c r="A129" s="11"/>
      <c r="B129" s="12"/>
      <c r="C129" s="412"/>
      <c r="D129" s="125"/>
      <c r="E129" s="125"/>
      <c r="F129" s="125"/>
      <c r="G129" s="125"/>
      <c r="H129" s="125"/>
      <c r="I129" s="125"/>
      <c r="J129" s="125"/>
      <c r="K129" s="125"/>
      <c r="L129" s="125"/>
      <c r="M129" s="125"/>
      <c r="N129" s="125"/>
      <c r="O129" s="125"/>
      <c r="P129" s="125"/>
      <c r="Q129" s="125"/>
      <c r="R129" s="125"/>
      <c r="S129" s="125"/>
      <c r="T129" s="125"/>
      <c r="U129" s="125"/>
      <c r="V129" s="125"/>
      <c r="W129" s="38"/>
      <c r="X129" s="38"/>
      <c r="Y129" s="38"/>
      <c r="Z129" s="38"/>
      <c r="AA129" s="38"/>
      <c r="AB129" s="38"/>
      <c r="AC129" s="38"/>
      <c r="AD129" s="38"/>
      <c r="AE129" s="38"/>
      <c r="AF129" s="38"/>
      <c r="AG129" s="38"/>
      <c r="AH129" s="38"/>
      <c r="AI129" s="38"/>
    </row>
    <row r="130" spans="1:35" ht="13.8" thickBot="1" x14ac:dyDescent="0.3">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row>
    <row r="131" spans="1:35" x14ac:dyDescent="0.25">
      <c r="B131" s="148" t="s">
        <v>1122</v>
      </c>
      <c r="C131" s="19">
        <f>SUM(C108:C130)</f>
        <v>192265.56</v>
      </c>
      <c r="D131" s="19">
        <f>SUM(D92:D130)</f>
        <v>430137</v>
      </c>
      <c r="E131" s="19">
        <f t="shared" ref="E131:AI131" si="49">SUM(E92:E130)</f>
        <v>422563</v>
      </c>
      <c r="F131" s="19">
        <f t="shared" si="49"/>
        <v>413667</v>
      </c>
      <c r="G131" s="19">
        <f t="shared" si="49"/>
        <v>409146</v>
      </c>
      <c r="H131" s="19">
        <f t="shared" si="49"/>
        <v>400060</v>
      </c>
      <c r="I131" s="19">
        <f t="shared" si="49"/>
        <v>376221</v>
      </c>
      <c r="J131" s="19">
        <f t="shared" si="49"/>
        <v>373420</v>
      </c>
      <c r="K131" s="19">
        <f t="shared" si="49"/>
        <v>375176</v>
      </c>
      <c r="L131" s="19">
        <f t="shared" si="49"/>
        <v>371922</v>
      </c>
      <c r="M131" s="19">
        <f t="shared" si="49"/>
        <v>328500</v>
      </c>
      <c r="N131" s="19">
        <f t="shared" si="49"/>
        <v>330269</v>
      </c>
      <c r="O131" s="19">
        <f t="shared" si="49"/>
        <v>253847</v>
      </c>
      <c r="P131" s="19">
        <f t="shared" si="49"/>
        <v>328425</v>
      </c>
      <c r="Q131" s="19">
        <f t="shared" si="49"/>
        <v>329577</v>
      </c>
      <c r="R131" s="19">
        <f t="shared" si="49"/>
        <v>330528</v>
      </c>
      <c r="S131" s="19">
        <f t="shared" si="49"/>
        <v>331275</v>
      </c>
      <c r="T131" s="19">
        <f t="shared" si="49"/>
        <v>216822.32</v>
      </c>
      <c r="U131" s="19">
        <f t="shared" si="49"/>
        <v>216769</v>
      </c>
      <c r="V131" s="19">
        <f t="shared" si="49"/>
        <v>215093</v>
      </c>
      <c r="W131" s="19">
        <f t="shared" si="49"/>
        <v>216536.94</v>
      </c>
      <c r="X131" s="19">
        <f t="shared" si="49"/>
        <v>64386</v>
      </c>
      <c r="Y131" s="19">
        <f t="shared" si="49"/>
        <v>64386</v>
      </c>
      <c r="Z131" s="19">
        <f t="shared" si="49"/>
        <v>64385</v>
      </c>
      <c r="AA131" s="19">
        <f t="shared" si="49"/>
        <v>64386</v>
      </c>
      <c r="AB131" s="19">
        <f t="shared" si="49"/>
        <v>64385</v>
      </c>
      <c r="AC131" s="19">
        <f t="shared" si="49"/>
        <v>64386</v>
      </c>
      <c r="AD131" s="19">
        <f t="shared" si="49"/>
        <v>64386</v>
      </c>
      <c r="AE131" s="19">
        <f t="shared" si="49"/>
        <v>64282</v>
      </c>
      <c r="AF131" s="19">
        <f t="shared" si="49"/>
        <v>30930</v>
      </c>
      <c r="AG131" s="19">
        <f t="shared" si="49"/>
        <v>30746</v>
      </c>
      <c r="AH131" s="19">
        <f t="shared" si="49"/>
        <v>0</v>
      </c>
      <c r="AI131" s="19">
        <f t="shared" si="49"/>
        <v>0</v>
      </c>
    </row>
    <row r="132" spans="1:35" x14ac:dyDescent="0.25">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row>
    <row r="133" spans="1:35" ht="13.8" thickBot="1" x14ac:dyDescent="0.3">
      <c r="A133" s="541" t="s">
        <v>1115</v>
      </c>
      <c r="B133" s="542"/>
      <c r="C133" s="543"/>
      <c r="D133" s="543"/>
      <c r="E133" s="543"/>
      <c r="F133" s="543"/>
      <c r="G133" s="543"/>
      <c r="H133" s="543"/>
      <c r="I133" s="543"/>
      <c r="J133" s="543"/>
      <c r="K133" s="543"/>
      <c r="L133" s="543"/>
      <c r="M133" s="543"/>
      <c r="N133" s="543"/>
      <c r="O133" s="543"/>
      <c r="P133" s="543"/>
      <c r="Q133" s="543"/>
      <c r="R133" s="543"/>
      <c r="S133" s="543"/>
      <c r="T133" s="543"/>
      <c r="U133" s="543"/>
      <c r="V133" s="543"/>
      <c r="W133" s="543"/>
      <c r="X133" s="543"/>
      <c r="Y133" s="543"/>
      <c r="Z133" s="543"/>
      <c r="AA133" s="543"/>
      <c r="AB133" s="543"/>
      <c r="AC133" s="543"/>
      <c r="AD133" s="543"/>
      <c r="AE133" s="543"/>
      <c r="AF133" s="543"/>
      <c r="AG133" s="543"/>
      <c r="AH133" s="543"/>
      <c r="AI133" s="543"/>
    </row>
    <row r="134" spans="1:35" ht="13.8" thickTop="1" x14ac:dyDescent="0.25">
      <c r="A134" s="544"/>
      <c r="B134" s="545"/>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row>
    <row r="135" spans="1:35" x14ac:dyDescent="0.25">
      <c r="A135" s="547">
        <v>710</v>
      </c>
      <c r="B135" s="548" t="s">
        <v>228</v>
      </c>
      <c r="C135" s="549"/>
      <c r="D135" s="549"/>
      <c r="E135" s="549"/>
      <c r="F135" s="549"/>
      <c r="G135" s="549"/>
      <c r="H135" s="549"/>
      <c r="I135" s="549"/>
      <c r="J135" s="549"/>
      <c r="K135" s="549"/>
      <c r="L135" s="549"/>
      <c r="M135" s="549"/>
      <c r="N135" s="549"/>
      <c r="O135" s="549"/>
      <c r="P135" s="549"/>
      <c r="Q135" s="549"/>
      <c r="R135" s="549"/>
      <c r="S135" s="549"/>
      <c r="T135" s="549"/>
      <c r="U135" s="549"/>
      <c r="V135" s="549"/>
      <c r="W135" s="549"/>
      <c r="X135" s="549"/>
      <c r="Y135" s="549"/>
      <c r="Z135" s="549"/>
      <c r="AA135" s="549"/>
      <c r="AB135" s="549"/>
      <c r="AC135" s="549"/>
      <c r="AD135" s="549"/>
      <c r="AE135" s="549"/>
      <c r="AF135" s="549"/>
      <c r="AG135" s="549"/>
      <c r="AH135" s="549"/>
      <c r="AI135" s="549"/>
    </row>
    <row r="136" spans="1:35" x14ac:dyDescent="0.25">
      <c r="A136" s="547">
        <v>5930</v>
      </c>
      <c r="B136" s="550" t="s">
        <v>36</v>
      </c>
      <c r="C136" s="549">
        <v>48115</v>
      </c>
      <c r="D136" s="549">
        <v>49087</v>
      </c>
      <c r="E136" s="549">
        <v>50079</v>
      </c>
      <c r="F136" s="549">
        <v>51901</v>
      </c>
      <c r="G136" s="549">
        <v>52123</v>
      </c>
      <c r="H136" s="549">
        <v>53176</v>
      </c>
      <c r="I136" s="549">
        <v>54250</v>
      </c>
      <c r="J136" s="549">
        <v>55346</v>
      </c>
      <c r="K136" s="549">
        <v>56464</v>
      </c>
      <c r="L136" s="549">
        <v>57605</v>
      </c>
      <c r="M136" s="553"/>
      <c r="N136" s="553"/>
      <c r="O136" s="553"/>
      <c r="P136" s="553"/>
      <c r="Q136" s="553"/>
      <c r="R136" s="553"/>
      <c r="S136" s="553"/>
      <c r="T136" s="553"/>
      <c r="U136" s="553"/>
      <c r="V136" s="553"/>
      <c r="W136" s="553"/>
      <c r="X136" s="553"/>
      <c r="Y136" s="553"/>
      <c r="Z136" s="553"/>
      <c r="AA136" s="553"/>
      <c r="AB136" s="553"/>
      <c r="AC136" s="553"/>
      <c r="AD136" s="553"/>
      <c r="AE136" s="553"/>
      <c r="AF136" s="553"/>
      <c r="AG136" s="553"/>
      <c r="AH136" s="549"/>
      <c r="AI136" s="549"/>
    </row>
    <row r="137" spans="1:35" x14ac:dyDescent="0.25">
      <c r="A137" s="547">
        <v>5931</v>
      </c>
      <c r="B137" s="551" t="s">
        <v>37</v>
      </c>
      <c r="C137" s="549">
        <v>54679</v>
      </c>
      <c r="D137" s="549">
        <v>56016</v>
      </c>
      <c r="E137" s="549">
        <v>57384</v>
      </c>
      <c r="F137" s="549">
        <v>58786</v>
      </c>
      <c r="G137" s="549">
        <v>60223</v>
      </c>
      <c r="H137" s="549">
        <v>61694</v>
      </c>
      <c r="I137" s="549">
        <v>63202</v>
      </c>
      <c r="J137" s="549">
        <v>64746</v>
      </c>
      <c r="K137" s="549">
        <v>66328</v>
      </c>
      <c r="L137" s="549">
        <v>67949</v>
      </c>
      <c r="M137" s="549">
        <v>69609</v>
      </c>
      <c r="N137" s="549">
        <v>71310</v>
      </c>
      <c r="O137" s="549">
        <v>73053</v>
      </c>
      <c r="P137" s="549">
        <v>74838</v>
      </c>
      <c r="Q137" s="549">
        <v>76667</v>
      </c>
      <c r="R137" s="549">
        <v>78540</v>
      </c>
      <c r="S137" s="549">
        <v>80459</v>
      </c>
      <c r="T137" s="549">
        <v>82425</v>
      </c>
      <c r="U137" s="549">
        <v>84439</v>
      </c>
      <c r="V137" s="549">
        <v>86502</v>
      </c>
      <c r="W137" s="549">
        <v>88616</v>
      </c>
      <c r="X137" s="553"/>
      <c r="Y137" s="553"/>
      <c r="Z137" s="553"/>
      <c r="AA137" s="553"/>
      <c r="AB137" s="553"/>
      <c r="AC137" s="553"/>
      <c r="AD137" s="553"/>
      <c r="AE137" s="553"/>
      <c r="AF137" s="553"/>
      <c r="AG137" s="553"/>
      <c r="AH137" s="549"/>
      <c r="AI137" s="549"/>
    </row>
    <row r="138" spans="1:35" x14ac:dyDescent="0.25">
      <c r="A138" s="547">
        <v>5932</v>
      </c>
      <c r="B138" s="551" t="s">
        <v>38</v>
      </c>
      <c r="C138" s="549">
        <v>16109</v>
      </c>
      <c r="D138" s="549">
        <v>16814</v>
      </c>
      <c r="E138" s="549">
        <v>17550</v>
      </c>
      <c r="F138" s="549">
        <v>18317</v>
      </c>
      <c r="G138" s="549">
        <v>19118</v>
      </c>
      <c r="H138" s="549">
        <v>19955</v>
      </c>
      <c r="I138" s="549">
        <v>20828</v>
      </c>
      <c r="J138" s="549">
        <v>21739</v>
      </c>
      <c r="K138" s="549">
        <v>22690</v>
      </c>
      <c r="L138" s="549">
        <v>23683</v>
      </c>
      <c r="M138" s="549">
        <v>24719</v>
      </c>
      <c r="N138" s="549">
        <v>25801</v>
      </c>
      <c r="O138" s="549">
        <v>26929</v>
      </c>
      <c r="P138" s="549">
        <v>28107</v>
      </c>
      <c r="Q138" s="549">
        <v>29337</v>
      </c>
      <c r="R138" s="549">
        <v>30621</v>
      </c>
      <c r="S138" s="549">
        <v>31960</v>
      </c>
      <c r="T138" s="549">
        <v>33359</v>
      </c>
      <c r="U138" s="549">
        <v>34818</v>
      </c>
      <c r="V138" s="549">
        <v>36341</v>
      </c>
      <c r="W138" s="549">
        <v>37931</v>
      </c>
      <c r="X138" s="549">
        <v>39591</v>
      </c>
      <c r="Y138" s="549">
        <v>41323</v>
      </c>
      <c r="Z138" s="549">
        <v>43130</v>
      </c>
      <c r="AA138" s="549">
        <v>45017</v>
      </c>
      <c r="AB138" s="549">
        <v>46987</v>
      </c>
      <c r="AC138" s="549">
        <v>49043</v>
      </c>
      <c r="AD138" s="549">
        <v>51188</v>
      </c>
      <c r="AE138" s="549">
        <v>53255</v>
      </c>
      <c r="AF138" s="553"/>
      <c r="AG138" s="553"/>
      <c r="AH138" s="549"/>
      <c r="AI138" s="549"/>
    </row>
    <row r="139" spans="1:35" ht="13.8" thickBot="1" x14ac:dyDescent="0.3">
      <c r="A139" s="547">
        <v>5933</v>
      </c>
      <c r="B139" s="551" t="s">
        <v>352</v>
      </c>
      <c r="C139" s="552">
        <v>14728</v>
      </c>
      <c r="D139" s="552">
        <v>15336</v>
      </c>
      <c r="E139" s="552">
        <v>15968</v>
      </c>
      <c r="F139" s="552">
        <v>16627</v>
      </c>
      <c r="G139" s="552">
        <v>17313</v>
      </c>
      <c r="H139" s="552">
        <v>18027</v>
      </c>
      <c r="I139" s="552">
        <v>18770</v>
      </c>
      <c r="J139" s="552">
        <v>19545</v>
      </c>
      <c r="K139" s="552">
        <v>20351</v>
      </c>
      <c r="L139" s="552">
        <v>21190</v>
      </c>
      <c r="M139" s="552">
        <v>22064</v>
      </c>
      <c r="N139" s="552">
        <v>22974</v>
      </c>
      <c r="O139" s="552">
        <v>23922</v>
      </c>
      <c r="P139" s="552">
        <v>24909</v>
      </c>
      <c r="Q139" s="552">
        <v>25936</v>
      </c>
      <c r="R139" s="552">
        <v>27006</v>
      </c>
      <c r="S139" s="552">
        <v>28120</v>
      </c>
      <c r="T139" s="552">
        <v>29280</v>
      </c>
      <c r="U139" s="552">
        <v>30488</v>
      </c>
      <c r="V139" s="552">
        <v>31746</v>
      </c>
      <c r="W139" s="552">
        <v>33055</v>
      </c>
      <c r="X139" s="552">
        <v>34418</v>
      </c>
      <c r="Y139" s="552">
        <v>35838</v>
      </c>
      <c r="Z139" s="552">
        <v>37317</v>
      </c>
      <c r="AA139" s="552">
        <v>38856</v>
      </c>
      <c r="AB139" s="552">
        <v>40459</v>
      </c>
      <c r="AC139" s="552">
        <v>42128</v>
      </c>
      <c r="AD139" s="552">
        <v>43865</v>
      </c>
      <c r="AE139" s="552">
        <v>45675</v>
      </c>
      <c r="AF139" s="552">
        <v>47559</v>
      </c>
      <c r="AG139" s="552">
        <v>49213</v>
      </c>
      <c r="AH139" s="552"/>
      <c r="AI139" s="552"/>
    </row>
    <row r="140" spans="1:35" x14ac:dyDescent="0.25">
      <c r="A140" s="547"/>
      <c r="B140" s="548"/>
      <c r="C140" s="553"/>
      <c r="D140" s="553"/>
      <c r="E140" s="553"/>
      <c r="F140" s="553"/>
      <c r="G140" s="553"/>
      <c r="H140" s="553"/>
      <c r="I140" s="553"/>
      <c r="J140" s="553"/>
      <c r="K140" s="553"/>
      <c r="L140" s="553"/>
      <c r="M140" s="553"/>
      <c r="N140" s="553"/>
      <c r="O140" s="553"/>
      <c r="P140" s="553"/>
      <c r="Q140" s="553"/>
      <c r="R140" s="553"/>
      <c r="S140" s="553"/>
      <c r="T140" s="553"/>
      <c r="U140" s="553"/>
      <c r="V140" s="553"/>
      <c r="W140" s="553"/>
      <c r="X140" s="553"/>
      <c r="Y140" s="553"/>
      <c r="Z140" s="553"/>
      <c r="AA140" s="553"/>
      <c r="AB140" s="553"/>
      <c r="AC140" s="553"/>
      <c r="AD140" s="553"/>
      <c r="AE140" s="553"/>
      <c r="AF140" s="553"/>
      <c r="AG140" s="553"/>
      <c r="AH140" s="553"/>
      <c r="AI140" s="553"/>
    </row>
    <row r="141" spans="1:35" x14ac:dyDescent="0.25">
      <c r="A141" s="547">
        <v>751</v>
      </c>
      <c r="B141" s="548" t="s">
        <v>229</v>
      </c>
      <c r="C141" s="553"/>
      <c r="D141" s="553"/>
      <c r="E141" s="553"/>
      <c r="F141" s="553"/>
      <c r="G141" s="553"/>
      <c r="H141" s="553"/>
      <c r="I141" s="553"/>
      <c r="J141" s="553"/>
      <c r="K141" s="553"/>
      <c r="L141" s="553"/>
      <c r="M141" s="553"/>
      <c r="N141" s="553"/>
      <c r="O141" s="553"/>
      <c r="P141" s="553"/>
      <c r="Q141" s="553"/>
      <c r="R141" s="553"/>
      <c r="S141" s="553"/>
      <c r="T141" s="553"/>
      <c r="U141" s="553"/>
      <c r="V141" s="553"/>
      <c r="W141" s="553"/>
      <c r="X141" s="553"/>
      <c r="Y141" s="553"/>
      <c r="Z141" s="553"/>
      <c r="AA141" s="553"/>
      <c r="AB141" s="553"/>
      <c r="AC141" s="553"/>
      <c r="AD141" s="553"/>
      <c r="AE141" s="553"/>
      <c r="AF141" s="553"/>
      <c r="AG141" s="553"/>
      <c r="AH141" s="553"/>
      <c r="AI141" s="553"/>
    </row>
    <row r="142" spans="1:35" x14ac:dyDescent="0.25">
      <c r="A142" s="547">
        <v>5930</v>
      </c>
      <c r="B142" s="551" t="s">
        <v>36</v>
      </c>
      <c r="C142" s="549">
        <v>10666</v>
      </c>
      <c r="D142" s="549">
        <v>9094</v>
      </c>
      <c r="E142" s="549">
        <v>8102</v>
      </c>
      <c r="F142" s="549">
        <v>7091</v>
      </c>
      <c r="G142" s="549">
        <v>6059</v>
      </c>
      <c r="H142" s="549">
        <v>5006</v>
      </c>
      <c r="I142" s="549">
        <v>3931</v>
      </c>
      <c r="J142" s="549">
        <v>2835</v>
      </c>
      <c r="K142" s="549">
        <v>1717</v>
      </c>
      <c r="L142" s="549">
        <v>577</v>
      </c>
      <c r="M142" s="553"/>
      <c r="N142" s="553"/>
      <c r="O142" s="553"/>
      <c r="P142" s="553"/>
      <c r="Q142" s="553"/>
      <c r="R142" s="553"/>
      <c r="S142" s="553"/>
      <c r="T142" s="553"/>
      <c r="U142" s="553"/>
      <c r="V142" s="553"/>
      <c r="W142" s="553"/>
      <c r="X142" s="553"/>
      <c r="Y142" s="553"/>
      <c r="Z142" s="553"/>
      <c r="AA142" s="553"/>
      <c r="AB142" s="553"/>
      <c r="AC142" s="553"/>
      <c r="AD142" s="553"/>
      <c r="AE142" s="553"/>
      <c r="AF142" s="553"/>
      <c r="AG142" s="553"/>
      <c r="AH142" s="549"/>
      <c r="AI142" s="549"/>
    </row>
    <row r="143" spans="1:35" x14ac:dyDescent="0.25">
      <c r="A143" s="547" t="s">
        <v>604</v>
      </c>
      <c r="B143" s="551" t="s">
        <v>39</v>
      </c>
      <c r="C143" s="549">
        <v>755</v>
      </c>
      <c r="D143" s="553">
        <v>683</v>
      </c>
      <c r="E143" s="553">
        <v>608</v>
      </c>
      <c r="F143" s="553">
        <v>532</v>
      </c>
      <c r="G143" s="553">
        <v>455</v>
      </c>
      <c r="H143" s="553">
        <v>376</v>
      </c>
      <c r="I143" s="553">
        <v>295</v>
      </c>
      <c r="J143" s="553">
        <v>213</v>
      </c>
      <c r="K143" s="553">
        <v>129</v>
      </c>
      <c r="L143" s="553">
        <v>444</v>
      </c>
      <c r="M143" s="553"/>
      <c r="N143" s="553"/>
      <c r="O143" s="553"/>
      <c r="P143" s="553"/>
      <c r="Q143" s="553"/>
      <c r="R143" s="553"/>
      <c r="S143" s="553"/>
      <c r="T143" s="553"/>
      <c r="U143" s="553"/>
      <c r="V143" s="553"/>
      <c r="W143" s="553"/>
      <c r="X143" s="553"/>
      <c r="Y143" s="553"/>
      <c r="Z143" s="553"/>
      <c r="AA143" s="553"/>
      <c r="AB143" s="553"/>
      <c r="AC143" s="553"/>
      <c r="AD143" s="553"/>
      <c r="AE143" s="553"/>
      <c r="AF143" s="553"/>
      <c r="AG143" s="553"/>
      <c r="AH143" s="549"/>
      <c r="AI143" s="549"/>
    </row>
    <row r="144" spans="1:35" x14ac:dyDescent="0.25">
      <c r="A144" s="547">
        <v>5931</v>
      </c>
      <c r="B144" s="551" t="s">
        <v>37</v>
      </c>
      <c r="C144" s="549">
        <v>35135</v>
      </c>
      <c r="D144" s="549">
        <v>33670</v>
      </c>
      <c r="E144" s="549">
        <v>32302</v>
      </c>
      <c r="F144" s="549">
        <v>30900</v>
      </c>
      <c r="G144" s="549">
        <v>29463</v>
      </c>
      <c r="H144" s="549">
        <v>27992</v>
      </c>
      <c r="I144" s="549">
        <v>26484</v>
      </c>
      <c r="J144" s="549">
        <v>24940</v>
      </c>
      <c r="K144" s="549">
        <v>23358</v>
      </c>
      <c r="L144" s="549">
        <v>21737</v>
      </c>
      <c r="M144" s="549">
        <v>20077</v>
      </c>
      <c r="N144" s="549">
        <v>18376</v>
      </c>
      <c r="O144" s="549">
        <v>16633</v>
      </c>
      <c r="P144" s="549">
        <v>14848</v>
      </c>
      <c r="Q144" s="549">
        <v>13020</v>
      </c>
      <c r="R144" s="549">
        <v>11146</v>
      </c>
      <c r="S144" s="549">
        <v>9227</v>
      </c>
      <c r="T144" s="549">
        <v>7261</v>
      </c>
      <c r="U144" s="549">
        <v>5247</v>
      </c>
      <c r="V144" s="549">
        <v>3184</v>
      </c>
      <c r="W144" s="549">
        <v>1070</v>
      </c>
      <c r="X144" s="553"/>
      <c r="Y144" s="553"/>
      <c r="Z144" s="553"/>
      <c r="AA144" s="553"/>
      <c r="AB144" s="553"/>
      <c r="AC144" s="553"/>
      <c r="AD144" s="553"/>
      <c r="AE144" s="553"/>
      <c r="AF144" s="553"/>
      <c r="AG144" s="553"/>
      <c r="AH144" s="549"/>
      <c r="AI144" s="549"/>
    </row>
    <row r="145" spans="1:35" x14ac:dyDescent="0.25">
      <c r="A145" s="547" t="s">
        <v>605</v>
      </c>
      <c r="B145" s="551" t="s">
        <v>40</v>
      </c>
      <c r="C145" s="549">
        <v>2176</v>
      </c>
      <c r="D145" s="553">
        <v>2093</v>
      </c>
      <c r="E145" s="553">
        <v>2008</v>
      </c>
      <c r="F145" s="553">
        <v>1920</v>
      </c>
      <c r="G145" s="553">
        <v>1831</v>
      </c>
      <c r="H145" s="553">
        <v>1740</v>
      </c>
      <c r="I145" s="553">
        <v>1646</v>
      </c>
      <c r="J145" s="553">
        <v>1450</v>
      </c>
      <c r="K145" s="553">
        <v>1452</v>
      </c>
      <c r="L145" s="553">
        <v>1351</v>
      </c>
      <c r="M145" s="553">
        <v>1248</v>
      </c>
      <c r="N145" s="553">
        <v>1142</v>
      </c>
      <c r="O145" s="553">
        <v>1034</v>
      </c>
      <c r="P145" s="553">
        <v>923</v>
      </c>
      <c r="Q145" s="553">
        <v>809</v>
      </c>
      <c r="R145" s="553">
        <v>693</v>
      </c>
      <c r="S145" s="553">
        <v>574</v>
      </c>
      <c r="T145" s="553">
        <v>452</v>
      </c>
      <c r="U145" s="553">
        <v>327</v>
      </c>
      <c r="V145" s="553">
        <v>198</v>
      </c>
      <c r="W145" s="553">
        <v>67</v>
      </c>
      <c r="X145" s="553"/>
      <c r="Y145" s="553"/>
      <c r="Z145" s="553"/>
      <c r="AA145" s="553"/>
      <c r="AB145" s="553"/>
      <c r="AC145" s="553"/>
      <c r="AD145" s="553"/>
      <c r="AE145" s="553"/>
      <c r="AF145" s="553"/>
      <c r="AG145" s="553"/>
      <c r="AH145" s="549"/>
      <c r="AI145" s="549"/>
    </row>
    <row r="146" spans="1:35" x14ac:dyDescent="0.25">
      <c r="A146" s="547">
        <v>5932</v>
      </c>
      <c r="B146" s="551" t="s">
        <v>38</v>
      </c>
      <c r="C146" s="549">
        <v>39649</v>
      </c>
      <c r="D146" s="549">
        <v>38944</v>
      </c>
      <c r="E146" s="549">
        <v>38208</v>
      </c>
      <c r="F146" s="549">
        <v>37441</v>
      </c>
      <c r="G146" s="549">
        <v>36639</v>
      </c>
      <c r="H146" s="549">
        <v>35803</v>
      </c>
      <c r="I146" s="549">
        <v>34930</v>
      </c>
      <c r="J146" s="549">
        <v>34019</v>
      </c>
      <c r="K146" s="549">
        <v>33068</v>
      </c>
      <c r="L146" s="549">
        <v>32075</v>
      </c>
      <c r="M146" s="549">
        <v>31039</v>
      </c>
      <c r="N146" s="549">
        <v>29957</v>
      </c>
      <c r="O146" s="549">
        <v>28829</v>
      </c>
      <c r="P146" s="549">
        <v>27650</v>
      </c>
      <c r="Q146" s="549">
        <v>26421</v>
      </c>
      <c r="R146" s="549">
        <v>25137</v>
      </c>
      <c r="S146" s="549">
        <v>23798</v>
      </c>
      <c r="T146" s="549">
        <v>22399</v>
      </c>
      <c r="U146" s="549">
        <v>20940</v>
      </c>
      <c r="V146" s="549">
        <v>19417</v>
      </c>
      <c r="W146" s="549">
        <v>17827</v>
      </c>
      <c r="X146" s="549">
        <v>16167</v>
      </c>
      <c r="Y146" s="549">
        <v>14435</v>
      </c>
      <c r="Z146" s="549">
        <v>12628</v>
      </c>
      <c r="AA146" s="549">
        <v>10741</v>
      </c>
      <c r="AB146" s="549">
        <v>8771</v>
      </c>
      <c r="AC146" s="549">
        <v>6715</v>
      </c>
      <c r="AD146" s="549">
        <v>4570</v>
      </c>
      <c r="AE146" s="549">
        <v>2330</v>
      </c>
      <c r="AF146" s="553"/>
      <c r="AG146" s="553"/>
      <c r="AH146" s="549"/>
      <c r="AI146" s="549"/>
    </row>
    <row r="147" spans="1:35" ht="13.8" thickBot="1" x14ac:dyDescent="0.3">
      <c r="A147" s="547">
        <v>5933</v>
      </c>
      <c r="B147" s="551" t="s">
        <v>352</v>
      </c>
      <c r="C147" s="552">
        <v>36823</v>
      </c>
      <c r="D147" s="552">
        <v>36215</v>
      </c>
      <c r="E147" s="552">
        <v>35583</v>
      </c>
      <c r="F147" s="552">
        <v>34924</v>
      </c>
      <c r="G147" s="552">
        <v>34238</v>
      </c>
      <c r="H147" s="552">
        <v>33524</v>
      </c>
      <c r="I147" s="552">
        <v>32781</v>
      </c>
      <c r="J147" s="552">
        <v>32006</v>
      </c>
      <c r="K147" s="552">
        <v>31200</v>
      </c>
      <c r="L147" s="552">
        <v>30361</v>
      </c>
      <c r="M147" s="552">
        <v>29487</v>
      </c>
      <c r="N147" s="552">
        <v>28577</v>
      </c>
      <c r="O147" s="552">
        <v>27629</v>
      </c>
      <c r="P147" s="552">
        <v>26642</v>
      </c>
      <c r="Q147" s="552">
        <v>25615</v>
      </c>
      <c r="R147" s="552">
        <v>24545</v>
      </c>
      <c r="S147" s="552">
        <v>23431</v>
      </c>
      <c r="T147" s="552">
        <v>22271</v>
      </c>
      <c r="U147" s="552">
        <v>21063</v>
      </c>
      <c r="V147" s="552">
        <v>19805</v>
      </c>
      <c r="W147" s="552">
        <v>18496</v>
      </c>
      <c r="X147" s="552">
        <v>17133</v>
      </c>
      <c r="Y147" s="552">
        <v>15713</v>
      </c>
      <c r="Z147" s="552">
        <v>14234</v>
      </c>
      <c r="AA147" s="552">
        <v>12695</v>
      </c>
      <c r="AB147" s="552">
        <v>11092</v>
      </c>
      <c r="AC147" s="552">
        <v>9423</v>
      </c>
      <c r="AD147" s="552">
        <v>7686</v>
      </c>
      <c r="AE147" s="552">
        <v>5876</v>
      </c>
      <c r="AF147" s="552">
        <v>3992</v>
      </c>
      <c r="AG147" s="552">
        <v>2030</v>
      </c>
      <c r="AH147" s="552"/>
      <c r="AI147" s="552"/>
    </row>
    <row r="148" spans="1:35" x14ac:dyDescent="0.25">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row>
    <row r="149" spans="1:35" ht="13.8" thickBot="1" x14ac:dyDescent="0.3">
      <c r="A149" s="563" t="s">
        <v>1116</v>
      </c>
      <c r="B149" s="564"/>
      <c r="C149" s="384"/>
      <c r="D149" s="384"/>
      <c r="E149" s="384"/>
      <c r="F149" s="384"/>
      <c r="G149" s="384"/>
      <c r="H149" s="384"/>
      <c r="I149" s="384"/>
      <c r="J149" s="384"/>
      <c r="K149" s="384"/>
      <c r="L149" s="384"/>
      <c r="M149" s="384"/>
      <c r="N149" s="384"/>
      <c r="O149" s="384"/>
      <c r="P149" s="384"/>
      <c r="Q149" s="384"/>
      <c r="R149" s="384"/>
      <c r="S149" s="384"/>
      <c r="T149" s="384"/>
      <c r="U149" s="384"/>
      <c r="V149" s="384"/>
      <c r="W149" s="384"/>
      <c r="X149" s="384"/>
      <c r="Y149" s="384"/>
      <c r="Z149" s="384"/>
      <c r="AA149" s="384"/>
      <c r="AB149" s="384"/>
      <c r="AC149" s="384"/>
      <c r="AD149" s="384"/>
      <c r="AE149" s="384"/>
      <c r="AF149" s="384"/>
      <c r="AG149" s="384"/>
      <c r="AH149" s="384"/>
      <c r="AI149" s="384"/>
    </row>
    <row r="150" spans="1:35" ht="13.8" thickTop="1" x14ac:dyDescent="0.25">
      <c r="A150" s="565">
        <v>710</v>
      </c>
      <c r="B150" s="566" t="s">
        <v>228</v>
      </c>
      <c r="C150" s="383"/>
      <c r="D150" s="383"/>
      <c r="E150" s="383"/>
      <c r="F150" s="383"/>
      <c r="G150" s="383"/>
      <c r="H150" s="383"/>
      <c r="I150" s="383"/>
      <c r="J150" s="383"/>
      <c r="K150" s="383"/>
      <c r="L150" s="383"/>
      <c r="M150" s="383"/>
      <c r="N150" s="383"/>
      <c r="O150" s="383"/>
      <c r="P150" s="383"/>
      <c r="Q150" s="383"/>
      <c r="R150" s="383"/>
      <c r="S150" s="383"/>
      <c r="T150" s="383"/>
      <c r="U150" s="383"/>
      <c r="V150" s="383"/>
      <c r="W150" s="383"/>
      <c r="X150" s="383"/>
      <c r="Y150" s="383"/>
      <c r="Z150" s="383"/>
      <c r="AA150" s="383"/>
      <c r="AB150" s="383"/>
      <c r="AC150" s="383"/>
      <c r="AD150" s="383"/>
      <c r="AE150" s="383"/>
      <c r="AF150" s="383"/>
      <c r="AG150" s="383"/>
      <c r="AH150" s="383"/>
      <c r="AI150" s="383"/>
    </row>
    <row r="151" spans="1:35" x14ac:dyDescent="0.25">
      <c r="A151" s="565">
        <v>5930</v>
      </c>
      <c r="B151" s="567" t="s">
        <v>36</v>
      </c>
      <c r="C151" s="383">
        <f t="shared" ref="C151:AI151" si="50">ROUND((+C136*0.4),0)</f>
        <v>19246</v>
      </c>
      <c r="D151" s="383">
        <f t="shared" si="50"/>
        <v>19635</v>
      </c>
      <c r="E151" s="383">
        <f t="shared" si="50"/>
        <v>20032</v>
      </c>
      <c r="F151" s="383">
        <f t="shared" si="50"/>
        <v>20760</v>
      </c>
      <c r="G151" s="383">
        <f t="shared" si="50"/>
        <v>20849</v>
      </c>
      <c r="H151" s="383">
        <f t="shared" si="50"/>
        <v>21270</v>
      </c>
      <c r="I151" s="383">
        <f t="shared" si="50"/>
        <v>21700</v>
      </c>
      <c r="J151" s="383">
        <f t="shared" si="50"/>
        <v>22138</v>
      </c>
      <c r="K151" s="383">
        <f t="shared" si="50"/>
        <v>22586</v>
      </c>
      <c r="L151" s="383">
        <f t="shared" si="50"/>
        <v>23042</v>
      </c>
      <c r="M151" s="383">
        <f t="shared" si="50"/>
        <v>0</v>
      </c>
      <c r="N151" s="383">
        <f t="shared" si="50"/>
        <v>0</v>
      </c>
      <c r="O151" s="383">
        <f t="shared" si="50"/>
        <v>0</v>
      </c>
      <c r="P151" s="383">
        <f t="shared" si="50"/>
        <v>0</v>
      </c>
      <c r="Q151" s="383">
        <f t="shared" si="50"/>
        <v>0</v>
      </c>
      <c r="R151" s="383">
        <f t="shared" si="50"/>
        <v>0</v>
      </c>
      <c r="S151" s="383">
        <f t="shared" si="50"/>
        <v>0</v>
      </c>
      <c r="T151" s="383">
        <f t="shared" si="50"/>
        <v>0</v>
      </c>
      <c r="U151" s="383">
        <f t="shared" si="50"/>
        <v>0</v>
      </c>
      <c r="V151" s="383">
        <f t="shared" si="50"/>
        <v>0</v>
      </c>
      <c r="W151" s="383">
        <f t="shared" si="50"/>
        <v>0</v>
      </c>
      <c r="X151" s="383">
        <f t="shared" si="50"/>
        <v>0</v>
      </c>
      <c r="Y151" s="383">
        <f t="shared" si="50"/>
        <v>0</v>
      </c>
      <c r="Z151" s="383">
        <f t="shared" si="50"/>
        <v>0</v>
      </c>
      <c r="AA151" s="383">
        <f t="shared" si="50"/>
        <v>0</v>
      </c>
      <c r="AB151" s="383">
        <f t="shared" si="50"/>
        <v>0</v>
      </c>
      <c r="AC151" s="383">
        <f t="shared" si="50"/>
        <v>0</v>
      </c>
      <c r="AD151" s="383">
        <f t="shared" si="50"/>
        <v>0</v>
      </c>
      <c r="AE151" s="383">
        <f t="shared" si="50"/>
        <v>0</v>
      </c>
      <c r="AF151" s="383">
        <f t="shared" si="50"/>
        <v>0</v>
      </c>
      <c r="AG151" s="383">
        <f t="shared" si="50"/>
        <v>0</v>
      </c>
      <c r="AH151" s="383">
        <f t="shared" si="50"/>
        <v>0</v>
      </c>
      <c r="AI151" s="383">
        <f t="shared" si="50"/>
        <v>0</v>
      </c>
    </row>
    <row r="152" spans="1:35" x14ac:dyDescent="0.25">
      <c r="A152" s="565">
        <v>5931</v>
      </c>
      <c r="B152" s="568" t="s">
        <v>37</v>
      </c>
      <c r="C152" s="383">
        <f t="shared" ref="C152:AI152" si="51">ROUND((+C137*0.4),0)</f>
        <v>21872</v>
      </c>
      <c r="D152" s="383">
        <f t="shared" si="51"/>
        <v>22406</v>
      </c>
      <c r="E152" s="383">
        <f t="shared" si="51"/>
        <v>22954</v>
      </c>
      <c r="F152" s="383">
        <f t="shared" si="51"/>
        <v>23514</v>
      </c>
      <c r="G152" s="383">
        <f t="shared" si="51"/>
        <v>24089</v>
      </c>
      <c r="H152" s="383">
        <f t="shared" si="51"/>
        <v>24678</v>
      </c>
      <c r="I152" s="383">
        <f t="shared" si="51"/>
        <v>25281</v>
      </c>
      <c r="J152" s="383">
        <f t="shared" si="51"/>
        <v>25898</v>
      </c>
      <c r="K152" s="383">
        <f t="shared" si="51"/>
        <v>26531</v>
      </c>
      <c r="L152" s="383">
        <f t="shared" si="51"/>
        <v>27180</v>
      </c>
      <c r="M152" s="383">
        <f t="shared" si="51"/>
        <v>27844</v>
      </c>
      <c r="N152" s="383">
        <f t="shared" si="51"/>
        <v>28524</v>
      </c>
      <c r="O152" s="383">
        <f t="shared" si="51"/>
        <v>29221</v>
      </c>
      <c r="P152" s="383">
        <f t="shared" si="51"/>
        <v>29935</v>
      </c>
      <c r="Q152" s="383">
        <f t="shared" si="51"/>
        <v>30667</v>
      </c>
      <c r="R152" s="383">
        <f t="shared" si="51"/>
        <v>31416</v>
      </c>
      <c r="S152" s="383">
        <f t="shared" si="51"/>
        <v>32184</v>
      </c>
      <c r="T152" s="383">
        <f t="shared" si="51"/>
        <v>32970</v>
      </c>
      <c r="U152" s="383">
        <f t="shared" si="51"/>
        <v>33776</v>
      </c>
      <c r="V152" s="383">
        <f t="shared" si="51"/>
        <v>34601</v>
      </c>
      <c r="W152" s="383">
        <f t="shared" si="51"/>
        <v>35446</v>
      </c>
      <c r="X152" s="383">
        <f t="shared" si="51"/>
        <v>0</v>
      </c>
      <c r="Y152" s="383">
        <f t="shared" si="51"/>
        <v>0</v>
      </c>
      <c r="Z152" s="383">
        <f t="shared" si="51"/>
        <v>0</v>
      </c>
      <c r="AA152" s="383">
        <f t="shared" si="51"/>
        <v>0</v>
      </c>
      <c r="AB152" s="383">
        <f t="shared" si="51"/>
        <v>0</v>
      </c>
      <c r="AC152" s="383">
        <f t="shared" si="51"/>
        <v>0</v>
      </c>
      <c r="AD152" s="383">
        <f t="shared" si="51"/>
        <v>0</v>
      </c>
      <c r="AE152" s="383">
        <f t="shared" si="51"/>
        <v>0</v>
      </c>
      <c r="AF152" s="383">
        <f t="shared" si="51"/>
        <v>0</v>
      </c>
      <c r="AG152" s="383">
        <f t="shared" si="51"/>
        <v>0</v>
      </c>
      <c r="AH152" s="383">
        <f t="shared" si="51"/>
        <v>0</v>
      </c>
      <c r="AI152" s="383">
        <f t="shared" si="51"/>
        <v>0</v>
      </c>
    </row>
    <row r="153" spans="1:35" x14ac:dyDescent="0.25">
      <c r="A153" s="565">
        <v>5932</v>
      </c>
      <c r="B153" s="568" t="s">
        <v>38</v>
      </c>
      <c r="C153" s="383">
        <f t="shared" ref="C153:AI153" si="52">ROUND((+C138*0.4),0)</f>
        <v>6444</v>
      </c>
      <c r="D153" s="383">
        <f t="shared" si="52"/>
        <v>6726</v>
      </c>
      <c r="E153" s="383">
        <f t="shared" si="52"/>
        <v>7020</v>
      </c>
      <c r="F153" s="383">
        <f t="shared" si="52"/>
        <v>7327</v>
      </c>
      <c r="G153" s="383">
        <f t="shared" si="52"/>
        <v>7647</v>
      </c>
      <c r="H153" s="383">
        <f t="shared" si="52"/>
        <v>7982</v>
      </c>
      <c r="I153" s="383">
        <f t="shared" si="52"/>
        <v>8331</v>
      </c>
      <c r="J153" s="383">
        <f t="shared" si="52"/>
        <v>8696</v>
      </c>
      <c r="K153" s="383">
        <f t="shared" si="52"/>
        <v>9076</v>
      </c>
      <c r="L153" s="383">
        <f t="shared" si="52"/>
        <v>9473</v>
      </c>
      <c r="M153" s="383">
        <f t="shared" si="52"/>
        <v>9888</v>
      </c>
      <c r="N153" s="383">
        <f t="shared" si="52"/>
        <v>10320</v>
      </c>
      <c r="O153" s="383">
        <f t="shared" si="52"/>
        <v>10772</v>
      </c>
      <c r="P153" s="383">
        <f t="shared" si="52"/>
        <v>11243</v>
      </c>
      <c r="Q153" s="383">
        <f t="shared" si="52"/>
        <v>11735</v>
      </c>
      <c r="R153" s="383">
        <f t="shared" si="52"/>
        <v>12248</v>
      </c>
      <c r="S153" s="383">
        <f t="shared" si="52"/>
        <v>12784</v>
      </c>
      <c r="T153" s="383">
        <f t="shared" si="52"/>
        <v>13344</v>
      </c>
      <c r="U153" s="383">
        <f t="shared" si="52"/>
        <v>13927</v>
      </c>
      <c r="V153" s="383">
        <f t="shared" si="52"/>
        <v>14536</v>
      </c>
      <c r="W153" s="383">
        <f t="shared" si="52"/>
        <v>15172</v>
      </c>
      <c r="X153" s="383">
        <f t="shared" si="52"/>
        <v>15836</v>
      </c>
      <c r="Y153" s="383">
        <f t="shared" si="52"/>
        <v>16529</v>
      </c>
      <c r="Z153" s="383">
        <f t="shared" si="52"/>
        <v>17252</v>
      </c>
      <c r="AA153" s="383">
        <f t="shared" si="52"/>
        <v>18007</v>
      </c>
      <c r="AB153" s="383">
        <f t="shared" si="52"/>
        <v>18795</v>
      </c>
      <c r="AC153" s="383">
        <f t="shared" si="52"/>
        <v>19617</v>
      </c>
      <c r="AD153" s="383">
        <f t="shared" si="52"/>
        <v>20475</v>
      </c>
      <c r="AE153" s="383">
        <f t="shared" si="52"/>
        <v>21302</v>
      </c>
      <c r="AF153" s="383">
        <f t="shared" si="52"/>
        <v>0</v>
      </c>
      <c r="AG153" s="383">
        <f t="shared" si="52"/>
        <v>0</v>
      </c>
      <c r="AH153" s="383">
        <f t="shared" si="52"/>
        <v>0</v>
      </c>
      <c r="AI153" s="383">
        <f t="shared" si="52"/>
        <v>0</v>
      </c>
    </row>
    <row r="154" spans="1:35" ht="13.8" thickBot="1" x14ac:dyDescent="0.3">
      <c r="A154" s="565">
        <v>5933</v>
      </c>
      <c r="B154" s="568" t="s">
        <v>352</v>
      </c>
      <c r="C154" s="382">
        <f t="shared" ref="C154:AI154" si="53">ROUND((+C139*0.4),0)</f>
        <v>5891</v>
      </c>
      <c r="D154" s="382">
        <f t="shared" si="53"/>
        <v>6134</v>
      </c>
      <c r="E154" s="382">
        <f t="shared" si="53"/>
        <v>6387</v>
      </c>
      <c r="F154" s="382">
        <f t="shared" si="53"/>
        <v>6651</v>
      </c>
      <c r="G154" s="382">
        <f t="shared" si="53"/>
        <v>6925</v>
      </c>
      <c r="H154" s="382">
        <f t="shared" si="53"/>
        <v>7211</v>
      </c>
      <c r="I154" s="382">
        <f t="shared" si="53"/>
        <v>7508</v>
      </c>
      <c r="J154" s="382">
        <f t="shared" si="53"/>
        <v>7818</v>
      </c>
      <c r="K154" s="382">
        <f t="shared" si="53"/>
        <v>8140</v>
      </c>
      <c r="L154" s="382">
        <f t="shared" si="53"/>
        <v>8476</v>
      </c>
      <c r="M154" s="382">
        <f t="shared" si="53"/>
        <v>8826</v>
      </c>
      <c r="N154" s="382">
        <f t="shared" si="53"/>
        <v>9190</v>
      </c>
      <c r="O154" s="382">
        <f t="shared" si="53"/>
        <v>9569</v>
      </c>
      <c r="P154" s="382">
        <f t="shared" si="53"/>
        <v>9964</v>
      </c>
      <c r="Q154" s="382">
        <f t="shared" si="53"/>
        <v>10374</v>
      </c>
      <c r="R154" s="382">
        <f t="shared" si="53"/>
        <v>10802</v>
      </c>
      <c r="S154" s="382">
        <f t="shared" si="53"/>
        <v>11248</v>
      </c>
      <c r="T154" s="382">
        <f t="shared" si="53"/>
        <v>11712</v>
      </c>
      <c r="U154" s="382">
        <f t="shared" si="53"/>
        <v>12195</v>
      </c>
      <c r="V154" s="382">
        <f t="shared" si="53"/>
        <v>12698</v>
      </c>
      <c r="W154" s="382">
        <f t="shared" si="53"/>
        <v>13222</v>
      </c>
      <c r="X154" s="382">
        <f t="shared" si="53"/>
        <v>13767</v>
      </c>
      <c r="Y154" s="382">
        <f t="shared" si="53"/>
        <v>14335</v>
      </c>
      <c r="Z154" s="382">
        <f t="shared" si="53"/>
        <v>14927</v>
      </c>
      <c r="AA154" s="382">
        <f t="shared" si="53"/>
        <v>15542</v>
      </c>
      <c r="AB154" s="382">
        <f t="shared" si="53"/>
        <v>16184</v>
      </c>
      <c r="AC154" s="382">
        <f t="shared" si="53"/>
        <v>16851</v>
      </c>
      <c r="AD154" s="382">
        <f t="shared" si="53"/>
        <v>17546</v>
      </c>
      <c r="AE154" s="382">
        <f t="shared" si="53"/>
        <v>18270</v>
      </c>
      <c r="AF154" s="382">
        <f t="shared" si="53"/>
        <v>19024</v>
      </c>
      <c r="AG154" s="382">
        <f t="shared" si="53"/>
        <v>19685</v>
      </c>
      <c r="AH154" s="382">
        <f t="shared" si="53"/>
        <v>0</v>
      </c>
      <c r="AI154" s="382">
        <f t="shared" si="53"/>
        <v>0</v>
      </c>
    </row>
    <row r="155" spans="1:35" x14ac:dyDescent="0.25">
      <c r="A155" s="565"/>
      <c r="B155" s="566"/>
      <c r="C155" s="569"/>
      <c r="D155" s="569"/>
      <c r="E155" s="569"/>
      <c r="F155" s="569"/>
      <c r="G155" s="569"/>
      <c r="H155" s="569"/>
      <c r="I155" s="569"/>
      <c r="J155" s="569"/>
      <c r="K155" s="569"/>
      <c r="L155" s="569"/>
      <c r="M155" s="569"/>
      <c r="N155" s="569"/>
      <c r="O155" s="569"/>
      <c r="P155" s="569"/>
      <c r="Q155" s="569"/>
      <c r="R155" s="569"/>
      <c r="S155" s="569"/>
      <c r="T155" s="569"/>
      <c r="U155" s="569"/>
      <c r="V155" s="569"/>
      <c r="W155" s="569"/>
      <c r="X155" s="569"/>
      <c r="Y155" s="569"/>
      <c r="Z155" s="569"/>
      <c r="AA155" s="569"/>
      <c r="AB155" s="569"/>
      <c r="AC155" s="569"/>
      <c r="AD155" s="569"/>
      <c r="AE155" s="569"/>
      <c r="AF155" s="569"/>
      <c r="AG155" s="569"/>
      <c r="AH155" s="569"/>
      <c r="AI155" s="569"/>
    </row>
    <row r="156" spans="1:35" x14ac:dyDescent="0.25">
      <c r="A156" s="565">
        <v>751</v>
      </c>
      <c r="B156" s="566" t="s">
        <v>229</v>
      </c>
      <c r="C156" s="569"/>
      <c r="D156" s="569"/>
      <c r="E156" s="569"/>
      <c r="F156" s="569"/>
      <c r="G156" s="569"/>
      <c r="H156" s="569"/>
      <c r="I156" s="569"/>
      <c r="J156" s="569"/>
      <c r="K156" s="569"/>
      <c r="L156" s="569"/>
      <c r="M156" s="569"/>
      <c r="N156" s="569"/>
      <c r="O156" s="569"/>
      <c r="P156" s="569"/>
      <c r="Q156" s="569"/>
      <c r="R156" s="569"/>
      <c r="S156" s="569"/>
      <c r="T156" s="569"/>
      <c r="U156" s="569"/>
      <c r="V156" s="569"/>
      <c r="W156" s="569"/>
      <c r="X156" s="569"/>
      <c r="Y156" s="569"/>
      <c r="Z156" s="569"/>
      <c r="AA156" s="569"/>
      <c r="AB156" s="569"/>
      <c r="AC156" s="569"/>
      <c r="AD156" s="569"/>
      <c r="AE156" s="569"/>
      <c r="AF156" s="569"/>
      <c r="AG156" s="569"/>
      <c r="AH156" s="569"/>
      <c r="AI156" s="569"/>
    </row>
    <row r="157" spans="1:35" x14ac:dyDescent="0.25">
      <c r="A157" s="565">
        <v>5930</v>
      </c>
      <c r="B157" s="568" t="s">
        <v>36</v>
      </c>
      <c r="C157" s="383">
        <f t="shared" ref="C157:AI157" si="54">ROUND((+C142*0.4),0)</f>
        <v>4266</v>
      </c>
      <c r="D157" s="383">
        <f t="shared" si="54"/>
        <v>3638</v>
      </c>
      <c r="E157" s="383">
        <f t="shared" si="54"/>
        <v>3241</v>
      </c>
      <c r="F157" s="383">
        <f t="shared" si="54"/>
        <v>2836</v>
      </c>
      <c r="G157" s="383">
        <f t="shared" si="54"/>
        <v>2424</v>
      </c>
      <c r="H157" s="383">
        <f t="shared" si="54"/>
        <v>2002</v>
      </c>
      <c r="I157" s="383">
        <f t="shared" si="54"/>
        <v>1572</v>
      </c>
      <c r="J157" s="383">
        <f t="shared" si="54"/>
        <v>1134</v>
      </c>
      <c r="K157" s="383">
        <f t="shared" si="54"/>
        <v>687</v>
      </c>
      <c r="L157" s="383">
        <f t="shared" si="54"/>
        <v>231</v>
      </c>
      <c r="M157" s="383">
        <f t="shared" si="54"/>
        <v>0</v>
      </c>
      <c r="N157" s="383">
        <f t="shared" si="54"/>
        <v>0</v>
      </c>
      <c r="O157" s="383">
        <f t="shared" si="54"/>
        <v>0</v>
      </c>
      <c r="P157" s="383">
        <f t="shared" si="54"/>
        <v>0</v>
      </c>
      <c r="Q157" s="383">
        <f t="shared" si="54"/>
        <v>0</v>
      </c>
      <c r="R157" s="383">
        <f t="shared" si="54"/>
        <v>0</v>
      </c>
      <c r="S157" s="383">
        <f t="shared" si="54"/>
        <v>0</v>
      </c>
      <c r="T157" s="383">
        <f t="shared" si="54"/>
        <v>0</v>
      </c>
      <c r="U157" s="383">
        <f t="shared" si="54"/>
        <v>0</v>
      </c>
      <c r="V157" s="383">
        <f t="shared" si="54"/>
        <v>0</v>
      </c>
      <c r="W157" s="383">
        <f t="shared" si="54"/>
        <v>0</v>
      </c>
      <c r="X157" s="383">
        <f t="shared" si="54"/>
        <v>0</v>
      </c>
      <c r="Y157" s="383">
        <f t="shared" si="54"/>
        <v>0</v>
      </c>
      <c r="Z157" s="383">
        <f t="shared" si="54"/>
        <v>0</v>
      </c>
      <c r="AA157" s="383">
        <f t="shared" si="54"/>
        <v>0</v>
      </c>
      <c r="AB157" s="383">
        <f t="shared" si="54"/>
        <v>0</v>
      </c>
      <c r="AC157" s="383">
        <f t="shared" si="54"/>
        <v>0</v>
      </c>
      <c r="AD157" s="383">
        <f t="shared" si="54"/>
        <v>0</v>
      </c>
      <c r="AE157" s="383">
        <f t="shared" si="54"/>
        <v>0</v>
      </c>
      <c r="AF157" s="383">
        <f t="shared" si="54"/>
        <v>0</v>
      </c>
      <c r="AG157" s="383">
        <f t="shared" si="54"/>
        <v>0</v>
      </c>
      <c r="AH157" s="383">
        <f t="shared" si="54"/>
        <v>0</v>
      </c>
      <c r="AI157" s="383">
        <f t="shared" si="54"/>
        <v>0</v>
      </c>
    </row>
    <row r="158" spans="1:35" x14ac:dyDescent="0.25">
      <c r="A158" s="565" t="s">
        <v>604</v>
      </c>
      <c r="B158" s="568" t="s">
        <v>39</v>
      </c>
      <c r="C158" s="383">
        <f t="shared" ref="C158:AI158" si="55">ROUND((+C143*0.4),0)</f>
        <v>302</v>
      </c>
      <c r="D158" s="383">
        <f t="shared" si="55"/>
        <v>273</v>
      </c>
      <c r="E158" s="383">
        <f t="shared" si="55"/>
        <v>243</v>
      </c>
      <c r="F158" s="383">
        <f t="shared" si="55"/>
        <v>213</v>
      </c>
      <c r="G158" s="383">
        <f t="shared" si="55"/>
        <v>182</v>
      </c>
      <c r="H158" s="383">
        <f t="shared" si="55"/>
        <v>150</v>
      </c>
      <c r="I158" s="383">
        <f t="shared" si="55"/>
        <v>118</v>
      </c>
      <c r="J158" s="383">
        <f t="shared" si="55"/>
        <v>85</v>
      </c>
      <c r="K158" s="383">
        <f t="shared" si="55"/>
        <v>52</v>
      </c>
      <c r="L158" s="383">
        <f t="shared" si="55"/>
        <v>178</v>
      </c>
      <c r="M158" s="383">
        <f t="shared" si="55"/>
        <v>0</v>
      </c>
      <c r="N158" s="383">
        <f t="shared" si="55"/>
        <v>0</v>
      </c>
      <c r="O158" s="383">
        <f t="shared" si="55"/>
        <v>0</v>
      </c>
      <c r="P158" s="383">
        <f t="shared" si="55"/>
        <v>0</v>
      </c>
      <c r="Q158" s="383">
        <f t="shared" si="55"/>
        <v>0</v>
      </c>
      <c r="R158" s="383">
        <f t="shared" si="55"/>
        <v>0</v>
      </c>
      <c r="S158" s="383">
        <f t="shared" si="55"/>
        <v>0</v>
      </c>
      <c r="T158" s="383">
        <f t="shared" si="55"/>
        <v>0</v>
      </c>
      <c r="U158" s="383">
        <f t="shared" si="55"/>
        <v>0</v>
      </c>
      <c r="V158" s="383">
        <f t="shared" si="55"/>
        <v>0</v>
      </c>
      <c r="W158" s="383">
        <f t="shared" si="55"/>
        <v>0</v>
      </c>
      <c r="X158" s="383">
        <f t="shared" si="55"/>
        <v>0</v>
      </c>
      <c r="Y158" s="383">
        <f t="shared" si="55"/>
        <v>0</v>
      </c>
      <c r="Z158" s="383">
        <f t="shared" si="55"/>
        <v>0</v>
      </c>
      <c r="AA158" s="383">
        <f t="shared" si="55"/>
        <v>0</v>
      </c>
      <c r="AB158" s="383">
        <f t="shared" si="55"/>
        <v>0</v>
      </c>
      <c r="AC158" s="383">
        <f t="shared" si="55"/>
        <v>0</v>
      </c>
      <c r="AD158" s="383">
        <f t="shared" si="55"/>
        <v>0</v>
      </c>
      <c r="AE158" s="383">
        <f t="shared" si="55"/>
        <v>0</v>
      </c>
      <c r="AF158" s="383">
        <f t="shared" si="55"/>
        <v>0</v>
      </c>
      <c r="AG158" s="383">
        <f t="shared" si="55"/>
        <v>0</v>
      </c>
      <c r="AH158" s="383">
        <f t="shared" si="55"/>
        <v>0</v>
      </c>
      <c r="AI158" s="383">
        <f t="shared" si="55"/>
        <v>0</v>
      </c>
    </row>
    <row r="159" spans="1:35" x14ac:dyDescent="0.25">
      <c r="A159" s="565">
        <v>5931</v>
      </c>
      <c r="B159" s="568" t="s">
        <v>37</v>
      </c>
      <c r="C159" s="383">
        <f t="shared" ref="C159:AI159" si="56">ROUND((+C144*0.4),0)</f>
        <v>14054</v>
      </c>
      <c r="D159" s="383">
        <f t="shared" si="56"/>
        <v>13468</v>
      </c>
      <c r="E159" s="383">
        <f t="shared" si="56"/>
        <v>12921</v>
      </c>
      <c r="F159" s="383">
        <f t="shared" si="56"/>
        <v>12360</v>
      </c>
      <c r="G159" s="383">
        <f t="shared" si="56"/>
        <v>11785</v>
      </c>
      <c r="H159" s="383">
        <f t="shared" si="56"/>
        <v>11197</v>
      </c>
      <c r="I159" s="383">
        <f t="shared" si="56"/>
        <v>10594</v>
      </c>
      <c r="J159" s="383">
        <f t="shared" si="56"/>
        <v>9976</v>
      </c>
      <c r="K159" s="383">
        <f t="shared" si="56"/>
        <v>9343</v>
      </c>
      <c r="L159" s="383">
        <f t="shared" si="56"/>
        <v>8695</v>
      </c>
      <c r="M159" s="383">
        <f t="shared" si="56"/>
        <v>8031</v>
      </c>
      <c r="N159" s="383">
        <f t="shared" si="56"/>
        <v>7350</v>
      </c>
      <c r="O159" s="383">
        <f t="shared" si="56"/>
        <v>6653</v>
      </c>
      <c r="P159" s="383">
        <f t="shared" si="56"/>
        <v>5939</v>
      </c>
      <c r="Q159" s="383">
        <f t="shared" si="56"/>
        <v>5208</v>
      </c>
      <c r="R159" s="383">
        <f t="shared" si="56"/>
        <v>4458</v>
      </c>
      <c r="S159" s="383">
        <f t="shared" si="56"/>
        <v>3691</v>
      </c>
      <c r="T159" s="383">
        <f t="shared" si="56"/>
        <v>2904</v>
      </c>
      <c r="U159" s="383">
        <f t="shared" si="56"/>
        <v>2099</v>
      </c>
      <c r="V159" s="383">
        <f t="shared" si="56"/>
        <v>1274</v>
      </c>
      <c r="W159" s="383">
        <f t="shared" si="56"/>
        <v>428</v>
      </c>
      <c r="X159" s="383">
        <f t="shared" si="56"/>
        <v>0</v>
      </c>
      <c r="Y159" s="383">
        <f t="shared" si="56"/>
        <v>0</v>
      </c>
      <c r="Z159" s="383">
        <f t="shared" si="56"/>
        <v>0</v>
      </c>
      <c r="AA159" s="383">
        <f t="shared" si="56"/>
        <v>0</v>
      </c>
      <c r="AB159" s="383">
        <f t="shared" si="56"/>
        <v>0</v>
      </c>
      <c r="AC159" s="383">
        <f t="shared" si="56"/>
        <v>0</v>
      </c>
      <c r="AD159" s="383">
        <f t="shared" si="56"/>
        <v>0</v>
      </c>
      <c r="AE159" s="383">
        <f t="shared" si="56"/>
        <v>0</v>
      </c>
      <c r="AF159" s="383">
        <f t="shared" si="56"/>
        <v>0</v>
      </c>
      <c r="AG159" s="383">
        <f t="shared" si="56"/>
        <v>0</v>
      </c>
      <c r="AH159" s="383">
        <f t="shared" si="56"/>
        <v>0</v>
      </c>
      <c r="AI159" s="383">
        <f t="shared" si="56"/>
        <v>0</v>
      </c>
    </row>
    <row r="160" spans="1:35" x14ac:dyDescent="0.25">
      <c r="A160" s="565" t="s">
        <v>605</v>
      </c>
      <c r="B160" s="568" t="s">
        <v>40</v>
      </c>
      <c r="C160" s="383">
        <f t="shared" ref="C160:AI160" si="57">ROUND((+C145*0.4),0)</f>
        <v>870</v>
      </c>
      <c r="D160" s="383">
        <f t="shared" si="57"/>
        <v>837</v>
      </c>
      <c r="E160" s="383">
        <f t="shared" si="57"/>
        <v>803</v>
      </c>
      <c r="F160" s="383">
        <f t="shared" si="57"/>
        <v>768</v>
      </c>
      <c r="G160" s="383">
        <f t="shared" si="57"/>
        <v>732</v>
      </c>
      <c r="H160" s="383">
        <f t="shared" si="57"/>
        <v>696</v>
      </c>
      <c r="I160" s="383">
        <f t="shared" si="57"/>
        <v>658</v>
      </c>
      <c r="J160" s="383">
        <f t="shared" si="57"/>
        <v>580</v>
      </c>
      <c r="K160" s="383">
        <f t="shared" si="57"/>
        <v>581</v>
      </c>
      <c r="L160" s="383">
        <f t="shared" si="57"/>
        <v>540</v>
      </c>
      <c r="M160" s="383">
        <f t="shared" si="57"/>
        <v>499</v>
      </c>
      <c r="N160" s="383">
        <f t="shared" si="57"/>
        <v>457</v>
      </c>
      <c r="O160" s="383">
        <f t="shared" si="57"/>
        <v>414</v>
      </c>
      <c r="P160" s="383">
        <f t="shared" si="57"/>
        <v>369</v>
      </c>
      <c r="Q160" s="383">
        <f t="shared" si="57"/>
        <v>324</v>
      </c>
      <c r="R160" s="383">
        <f t="shared" si="57"/>
        <v>277</v>
      </c>
      <c r="S160" s="383">
        <f t="shared" si="57"/>
        <v>230</v>
      </c>
      <c r="T160" s="383">
        <f t="shared" si="57"/>
        <v>181</v>
      </c>
      <c r="U160" s="383">
        <f t="shared" si="57"/>
        <v>131</v>
      </c>
      <c r="V160" s="383">
        <f t="shared" si="57"/>
        <v>79</v>
      </c>
      <c r="W160" s="383">
        <f t="shared" si="57"/>
        <v>27</v>
      </c>
      <c r="X160" s="383">
        <f t="shared" si="57"/>
        <v>0</v>
      </c>
      <c r="Y160" s="383">
        <f t="shared" si="57"/>
        <v>0</v>
      </c>
      <c r="Z160" s="383">
        <f t="shared" si="57"/>
        <v>0</v>
      </c>
      <c r="AA160" s="383">
        <f t="shared" si="57"/>
        <v>0</v>
      </c>
      <c r="AB160" s="383">
        <f t="shared" si="57"/>
        <v>0</v>
      </c>
      <c r="AC160" s="383">
        <f t="shared" si="57"/>
        <v>0</v>
      </c>
      <c r="AD160" s="383">
        <f t="shared" si="57"/>
        <v>0</v>
      </c>
      <c r="AE160" s="383">
        <f t="shared" si="57"/>
        <v>0</v>
      </c>
      <c r="AF160" s="383">
        <f t="shared" si="57"/>
        <v>0</v>
      </c>
      <c r="AG160" s="383">
        <f t="shared" si="57"/>
        <v>0</v>
      </c>
      <c r="AH160" s="383">
        <f t="shared" si="57"/>
        <v>0</v>
      </c>
      <c r="AI160" s="383">
        <f t="shared" si="57"/>
        <v>0</v>
      </c>
    </row>
    <row r="161" spans="1:35" x14ac:dyDescent="0.25">
      <c r="A161" s="565">
        <v>5932</v>
      </c>
      <c r="B161" s="568" t="s">
        <v>38</v>
      </c>
      <c r="C161" s="383">
        <f t="shared" ref="C161:AI161" si="58">ROUND((+C146*0.4),0)</f>
        <v>15860</v>
      </c>
      <c r="D161" s="383">
        <f t="shared" si="58"/>
        <v>15578</v>
      </c>
      <c r="E161" s="383">
        <f t="shared" si="58"/>
        <v>15283</v>
      </c>
      <c r="F161" s="383">
        <f t="shared" si="58"/>
        <v>14976</v>
      </c>
      <c r="G161" s="383">
        <f t="shared" si="58"/>
        <v>14656</v>
      </c>
      <c r="H161" s="383">
        <f t="shared" si="58"/>
        <v>14321</v>
      </c>
      <c r="I161" s="383">
        <f t="shared" si="58"/>
        <v>13972</v>
      </c>
      <c r="J161" s="383">
        <f t="shared" si="58"/>
        <v>13608</v>
      </c>
      <c r="K161" s="383">
        <f t="shared" si="58"/>
        <v>13227</v>
      </c>
      <c r="L161" s="383">
        <f t="shared" si="58"/>
        <v>12830</v>
      </c>
      <c r="M161" s="383">
        <f t="shared" si="58"/>
        <v>12416</v>
      </c>
      <c r="N161" s="383">
        <f t="shared" si="58"/>
        <v>11983</v>
      </c>
      <c r="O161" s="383">
        <f t="shared" si="58"/>
        <v>11532</v>
      </c>
      <c r="P161" s="383">
        <f t="shared" si="58"/>
        <v>11060</v>
      </c>
      <c r="Q161" s="383">
        <f t="shared" si="58"/>
        <v>10568</v>
      </c>
      <c r="R161" s="383">
        <f t="shared" si="58"/>
        <v>10055</v>
      </c>
      <c r="S161" s="383">
        <f t="shared" si="58"/>
        <v>9519</v>
      </c>
      <c r="T161" s="383">
        <f t="shared" si="58"/>
        <v>8960</v>
      </c>
      <c r="U161" s="383">
        <f t="shared" si="58"/>
        <v>8376</v>
      </c>
      <c r="V161" s="383">
        <f t="shared" si="58"/>
        <v>7767</v>
      </c>
      <c r="W161" s="383">
        <f t="shared" si="58"/>
        <v>7131</v>
      </c>
      <c r="X161" s="383">
        <f t="shared" si="58"/>
        <v>6467</v>
      </c>
      <c r="Y161" s="383">
        <f t="shared" si="58"/>
        <v>5774</v>
      </c>
      <c r="Z161" s="383">
        <f t="shared" si="58"/>
        <v>5051</v>
      </c>
      <c r="AA161" s="383">
        <f t="shared" si="58"/>
        <v>4296</v>
      </c>
      <c r="AB161" s="383">
        <f t="shared" si="58"/>
        <v>3508</v>
      </c>
      <c r="AC161" s="383">
        <f t="shared" si="58"/>
        <v>2686</v>
      </c>
      <c r="AD161" s="383">
        <f t="shared" si="58"/>
        <v>1828</v>
      </c>
      <c r="AE161" s="383">
        <f t="shared" si="58"/>
        <v>932</v>
      </c>
      <c r="AF161" s="383">
        <f t="shared" si="58"/>
        <v>0</v>
      </c>
      <c r="AG161" s="383">
        <f t="shared" si="58"/>
        <v>0</v>
      </c>
      <c r="AH161" s="383">
        <f t="shared" si="58"/>
        <v>0</v>
      </c>
      <c r="AI161" s="383">
        <f t="shared" si="58"/>
        <v>0</v>
      </c>
    </row>
    <row r="162" spans="1:35" ht="13.8" thickBot="1" x14ac:dyDescent="0.3">
      <c r="A162" s="565">
        <v>5933</v>
      </c>
      <c r="B162" s="568" t="s">
        <v>352</v>
      </c>
      <c r="C162" s="382">
        <f t="shared" ref="C162:AI162" si="59">ROUND((+C147*0.4),0)</f>
        <v>14729</v>
      </c>
      <c r="D162" s="382">
        <f t="shared" si="59"/>
        <v>14486</v>
      </c>
      <c r="E162" s="382">
        <f t="shared" si="59"/>
        <v>14233</v>
      </c>
      <c r="F162" s="382">
        <f t="shared" si="59"/>
        <v>13970</v>
      </c>
      <c r="G162" s="382">
        <f t="shared" si="59"/>
        <v>13695</v>
      </c>
      <c r="H162" s="382">
        <f t="shared" si="59"/>
        <v>13410</v>
      </c>
      <c r="I162" s="382">
        <f t="shared" si="59"/>
        <v>13112</v>
      </c>
      <c r="J162" s="382">
        <f t="shared" si="59"/>
        <v>12802</v>
      </c>
      <c r="K162" s="382">
        <f t="shared" si="59"/>
        <v>12480</v>
      </c>
      <c r="L162" s="382">
        <f t="shared" si="59"/>
        <v>12144</v>
      </c>
      <c r="M162" s="382">
        <f t="shared" si="59"/>
        <v>11795</v>
      </c>
      <c r="N162" s="382">
        <f t="shared" si="59"/>
        <v>11431</v>
      </c>
      <c r="O162" s="382">
        <f t="shared" si="59"/>
        <v>11052</v>
      </c>
      <c r="P162" s="382">
        <f t="shared" si="59"/>
        <v>10657</v>
      </c>
      <c r="Q162" s="382">
        <f t="shared" si="59"/>
        <v>10246</v>
      </c>
      <c r="R162" s="382">
        <f t="shared" si="59"/>
        <v>9818</v>
      </c>
      <c r="S162" s="382">
        <f t="shared" si="59"/>
        <v>9372</v>
      </c>
      <c r="T162" s="382">
        <f t="shared" si="59"/>
        <v>8908</v>
      </c>
      <c r="U162" s="382">
        <f t="shared" si="59"/>
        <v>8425</v>
      </c>
      <c r="V162" s="382">
        <f t="shared" si="59"/>
        <v>7922</v>
      </c>
      <c r="W162" s="382">
        <f t="shared" si="59"/>
        <v>7398</v>
      </c>
      <c r="X162" s="382">
        <f t="shared" si="59"/>
        <v>6853</v>
      </c>
      <c r="Y162" s="382">
        <f t="shared" si="59"/>
        <v>6285</v>
      </c>
      <c r="Z162" s="382">
        <f t="shared" si="59"/>
        <v>5694</v>
      </c>
      <c r="AA162" s="382">
        <f t="shared" si="59"/>
        <v>5078</v>
      </c>
      <c r="AB162" s="382">
        <f t="shared" si="59"/>
        <v>4437</v>
      </c>
      <c r="AC162" s="382">
        <f t="shared" si="59"/>
        <v>3769</v>
      </c>
      <c r="AD162" s="382">
        <f t="shared" si="59"/>
        <v>3074</v>
      </c>
      <c r="AE162" s="382">
        <f t="shared" si="59"/>
        <v>2350</v>
      </c>
      <c r="AF162" s="382">
        <f t="shared" si="59"/>
        <v>1597</v>
      </c>
      <c r="AG162" s="382">
        <f t="shared" si="59"/>
        <v>812</v>
      </c>
      <c r="AH162" s="382">
        <f t="shared" si="59"/>
        <v>0</v>
      </c>
      <c r="AI162" s="382">
        <f t="shared" si="59"/>
        <v>0</v>
      </c>
    </row>
    <row r="163" spans="1:35" x14ac:dyDescent="0.25">
      <c r="A163" s="565"/>
      <c r="B163" s="566"/>
      <c r="C163" s="570"/>
      <c r="D163" s="570"/>
      <c r="E163" s="570"/>
      <c r="F163" s="570"/>
      <c r="G163" s="570"/>
      <c r="H163" s="570"/>
      <c r="I163" s="570"/>
      <c r="J163" s="570"/>
      <c r="K163" s="570"/>
      <c r="L163" s="570"/>
      <c r="M163" s="570"/>
      <c r="N163" s="570"/>
      <c r="O163" s="570"/>
      <c r="P163" s="570"/>
      <c r="Q163" s="570"/>
      <c r="R163" s="570"/>
      <c r="S163" s="570"/>
      <c r="T163" s="570"/>
      <c r="U163" s="570"/>
      <c r="V163" s="570"/>
      <c r="W163" s="570"/>
      <c r="X163" s="570"/>
      <c r="Y163" s="570"/>
      <c r="Z163" s="570"/>
      <c r="AA163" s="570"/>
      <c r="AB163" s="570"/>
      <c r="AC163" s="570"/>
      <c r="AD163" s="570"/>
      <c r="AE163" s="570"/>
      <c r="AF163" s="570"/>
      <c r="AG163" s="570"/>
      <c r="AH163" s="570"/>
      <c r="AI163" s="570"/>
    </row>
    <row r="165" spans="1:35" x14ac:dyDescent="0.25">
      <c r="A165" s="571" t="s">
        <v>1117</v>
      </c>
      <c r="B165" s="554"/>
      <c r="C165" s="555"/>
      <c r="D165" s="555"/>
      <c r="E165" s="555"/>
      <c r="F165" s="555"/>
      <c r="G165" s="555"/>
      <c r="H165" s="555"/>
      <c r="I165" s="555"/>
      <c r="J165" s="555"/>
      <c r="K165" s="555"/>
      <c r="L165" s="555"/>
      <c r="M165" s="555"/>
      <c r="N165" s="555"/>
      <c r="O165" s="555"/>
      <c r="P165" s="555"/>
      <c r="Q165" s="555"/>
      <c r="R165" s="555"/>
      <c r="S165" s="555"/>
      <c r="T165" s="555"/>
      <c r="U165" s="555"/>
      <c r="V165" s="555"/>
      <c r="W165" s="555"/>
      <c r="X165" s="555"/>
      <c r="Y165" s="555"/>
      <c r="Z165" s="555"/>
      <c r="AA165" s="555"/>
      <c r="AB165" s="555"/>
      <c r="AC165" s="555"/>
      <c r="AD165" s="555"/>
      <c r="AE165" s="555"/>
      <c r="AF165" s="555"/>
      <c r="AG165" s="555"/>
      <c r="AH165" s="555"/>
      <c r="AI165" s="19"/>
    </row>
    <row r="166" spans="1:35" x14ac:dyDescent="0.25">
      <c r="A166" s="556">
        <v>710</v>
      </c>
      <c r="B166" s="557" t="s">
        <v>228</v>
      </c>
      <c r="C166" s="558"/>
      <c r="D166" s="558"/>
      <c r="E166" s="558"/>
      <c r="F166" s="558"/>
      <c r="G166" s="558"/>
      <c r="H166" s="558"/>
      <c r="I166" s="558"/>
      <c r="J166" s="558"/>
      <c r="K166" s="558"/>
      <c r="L166" s="558"/>
      <c r="M166" s="558"/>
      <c r="N166" s="558"/>
      <c r="O166" s="558"/>
      <c r="P166" s="558"/>
      <c r="Q166" s="558"/>
      <c r="R166" s="558"/>
      <c r="S166" s="558"/>
      <c r="T166" s="558"/>
      <c r="U166" s="558"/>
      <c r="V166" s="558"/>
      <c r="W166" s="558"/>
      <c r="X166" s="558"/>
      <c r="Y166" s="558"/>
      <c r="Z166" s="558"/>
      <c r="AA166" s="558"/>
      <c r="AB166" s="558"/>
      <c r="AC166" s="558"/>
      <c r="AD166" s="558"/>
      <c r="AE166" s="558"/>
      <c r="AF166" s="558"/>
      <c r="AG166" s="558"/>
      <c r="AH166" s="558"/>
      <c r="AI166" s="14"/>
    </row>
    <row r="167" spans="1:35" x14ac:dyDescent="0.25">
      <c r="A167" s="556">
        <v>5930</v>
      </c>
      <c r="B167" s="559" t="s">
        <v>36</v>
      </c>
      <c r="C167" s="558">
        <f t="shared" ref="C167:AI167" si="60">+C136-C151</f>
        <v>28869</v>
      </c>
      <c r="D167" s="558">
        <f t="shared" si="60"/>
        <v>29452</v>
      </c>
      <c r="E167" s="558">
        <f t="shared" si="60"/>
        <v>30047</v>
      </c>
      <c r="F167" s="558">
        <f t="shared" si="60"/>
        <v>31141</v>
      </c>
      <c r="G167" s="558">
        <f t="shared" si="60"/>
        <v>31274</v>
      </c>
      <c r="H167" s="558">
        <f t="shared" si="60"/>
        <v>31906</v>
      </c>
      <c r="I167" s="558">
        <f t="shared" si="60"/>
        <v>32550</v>
      </c>
      <c r="J167" s="558">
        <f t="shared" si="60"/>
        <v>33208</v>
      </c>
      <c r="K167" s="558">
        <f t="shared" si="60"/>
        <v>33878</v>
      </c>
      <c r="L167" s="558">
        <f t="shared" si="60"/>
        <v>34563</v>
      </c>
      <c r="M167" s="558">
        <f t="shared" si="60"/>
        <v>0</v>
      </c>
      <c r="N167" s="558">
        <f t="shared" si="60"/>
        <v>0</v>
      </c>
      <c r="O167" s="558">
        <f t="shared" si="60"/>
        <v>0</v>
      </c>
      <c r="P167" s="558">
        <f t="shared" si="60"/>
        <v>0</v>
      </c>
      <c r="Q167" s="558">
        <f t="shared" si="60"/>
        <v>0</v>
      </c>
      <c r="R167" s="558">
        <f t="shared" si="60"/>
        <v>0</v>
      </c>
      <c r="S167" s="558">
        <f t="shared" si="60"/>
        <v>0</v>
      </c>
      <c r="T167" s="558">
        <f t="shared" si="60"/>
        <v>0</v>
      </c>
      <c r="U167" s="558">
        <f t="shared" si="60"/>
        <v>0</v>
      </c>
      <c r="V167" s="558">
        <f t="shared" si="60"/>
        <v>0</v>
      </c>
      <c r="W167" s="558">
        <f t="shared" si="60"/>
        <v>0</v>
      </c>
      <c r="X167" s="558">
        <f t="shared" si="60"/>
        <v>0</v>
      </c>
      <c r="Y167" s="558">
        <f t="shared" si="60"/>
        <v>0</v>
      </c>
      <c r="Z167" s="558">
        <f t="shared" si="60"/>
        <v>0</v>
      </c>
      <c r="AA167" s="558">
        <f t="shared" si="60"/>
        <v>0</v>
      </c>
      <c r="AB167" s="558">
        <f t="shared" si="60"/>
        <v>0</v>
      </c>
      <c r="AC167" s="558">
        <f t="shared" si="60"/>
        <v>0</v>
      </c>
      <c r="AD167" s="558">
        <f t="shared" si="60"/>
        <v>0</v>
      </c>
      <c r="AE167" s="558">
        <f t="shared" si="60"/>
        <v>0</v>
      </c>
      <c r="AF167" s="558">
        <f t="shared" si="60"/>
        <v>0</v>
      </c>
      <c r="AG167" s="558">
        <f t="shared" si="60"/>
        <v>0</v>
      </c>
      <c r="AH167" s="558">
        <f t="shared" si="60"/>
        <v>0</v>
      </c>
      <c r="AI167" s="122">
        <f t="shared" si="60"/>
        <v>0</v>
      </c>
    </row>
    <row r="168" spans="1:35" x14ac:dyDescent="0.25">
      <c r="A168" s="556">
        <v>5931</v>
      </c>
      <c r="B168" s="560" t="s">
        <v>37</v>
      </c>
      <c r="C168" s="558">
        <f t="shared" ref="C168:AI168" si="61">+C137-C152</f>
        <v>32807</v>
      </c>
      <c r="D168" s="558">
        <f t="shared" si="61"/>
        <v>33610</v>
      </c>
      <c r="E168" s="558">
        <f t="shared" si="61"/>
        <v>34430</v>
      </c>
      <c r="F168" s="558">
        <f t="shared" si="61"/>
        <v>35272</v>
      </c>
      <c r="G168" s="558">
        <f t="shared" si="61"/>
        <v>36134</v>
      </c>
      <c r="H168" s="558">
        <f t="shared" si="61"/>
        <v>37016</v>
      </c>
      <c r="I168" s="558">
        <f t="shared" si="61"/>
        <v>37921</v>
      </c>
      <c r="J168" s="558">
        <f t="shared" si="61"/>
        <v>38848</v>
      </c>
      <c r="K168" s="558">
        <f t="shared" si="61"/>
        <v>39797</v>
      </c>
      <c r="L168" s="558">
        <f t="shared" si="61"/>
        <v>40769</v>
      </c>
      <c r="M168" s="558">
        <f t="shared" si="61"/>
        <v>41765</v>
      </c>
      <c r="N168" s="558">
        <f t="shared" si="61"/>
        <v>42786</v>
      </c>
      <c r="O168" s="558">
        <f t="shared" si="61"/>
        <v>43832</v>
      </c>
      <c r="P168" s="558">
        <f t="shared" si="61"/>
        <v>44903</v>
      </c>
      <c r="Q168" s="558">
        <f t="shared" si="61"/>
        <v>46000</v>
      </c>
      <c r="R168" s="558">
        <f t="shared" si="61"/>
        <v>47124</v>
      </c>
      <c r="S168" s="558">
        <f t="shared" si="61"/>
        <v>48275</v>
      </c>
      <c r="T168" s="558">
        <f t="shared" si="61"/>
        <v>49455</v>
      </c>
      <c r="U168" s="558">
        <f t="shared" si="61"/>
        <v>50663</v>
      </c>
      <c r="V168" s="558">
        <f t="shared" si="61"/>
        <v>51901</v>
      </c>
      <c r="W168" s="558">
        <f t="shared" si="61"/>
        <v>53170</v>
      </c>
      <c r="X168" s="558">
        <f t="shared" si="61"/>
        <v>0</v>
      </c>
      <c r="Y168" s="558">
        <f t="shared" si="61"/>
        <v>0</v>
      </c>
      <c r="Z168" s="558">
        <f t="shared" si="61"/>
        <v>0</v>
      </c>
      <c r="AA168" s="558">
        <f t="shared" si="61"/>
        <v>0</v>
      </c>
      <c r="AB168" s="558">
        <f t="shared" si="61"/>
        <v>0</v>
      </c>
      <c r="AC168" s="558">
        <f t="shared" si="61"/>
        <v>0</v>
      </c>
      <c r="AD168" s="558">
        <f t="shared" si="61"/>
        <v>0</v>
      </c>
      <c r="AE168" s="558">
        <f t="shared" si="61"/>
        <v>0</v>
      </c>
      <c r="AF168" s="558">
        <f t="shared" si="61"/>
        <v>0</v>
      </c>
      <c r="AG168" s="558">
        <f t="shared" si="61"/>
        <v>0</v>
      </c>
      <c r="AH168" s="558">
        <f t="shared" si="61"/>
        <v>0</v>
      </c>
      <c r="AI168" s="122">
        <f t="shared" si="61"/>
        <v>0</v>
      </c>
    </row>
    <row r="169" spans="1:35" x14ac:dyDescent="0.25">
      <c r="A169" s="556">
        <v>5932</v>
      </c>
      <c r="B169" s="560" t="s">
        <v>38</v>
      </c>
      <c r="C169" s="558">
        <f t="shared" ref="C169:AI169" si="62">+C138-C153</f>
        <v>9665</v>
      </c>
      <c r="D169" s="558">
        <f t="shared" si="62"/>
        <v>10088</v>
      </c>
      <c r="E169" s="558">
        <f t="shared" si="62"/>
        <v>10530</v>
      </c>
      <c r="F169" s="558">
        <f t="shared" si="62"/>
        <v>10990</v>
      </c>
      <c r="G169" s="558">
        <f t="shared" si="62"/>
        <v>11471</v>
      </c>
      <c r="H169" s="558">
        <f t="shared" si="62"/>
        <v>11973</v>
      </c>
      <c r="I169" s="558">
        <f t="shared" si="62"/>
        <v>12497</v>
      </c>
      <c r="J169" s="558">
        <f t="shared" si="62"/>
        <v>13043</v>
      </c>
      <c r="K169" s="558">
        <f t="shared" si="62"/>
        <v>13614</v>
      </c>
      <c r="L169" s="558">
        <f t="shared" si="62"/>
        <v>14210</v>
      </c>
      <c r="M169" s="558">
        <f t="shared" si="62"/>
        <v>14831</v>
      </c>
      <c r="N169" s="558">
        <f t="shared" si="62"/>
        <v>15481</v>
      </c>
      <c r="O169" s="558">
        <f t="shared" si="62"/>
        <v>16157</v>
      </c>
      <c r="P169" s="558">
        <f t="shared" si="62"/>
        <v>16864</v>
      </c>
      <c r="Q169" s="558">
        <f t="shared" si="62"/>
        <v>17602</v>
      </c>
      <c r="R169" s="558">
        <f t="shared" si="62"/>
        <v>18373</v>
      </c>
      <c r="S169" s="558">
        <f t="shared" si="62"/>
        <v>19176</v>
      </c>
      <c r="T169" s="558">
        <f t="shared" si="62"/>
        <v>20015</v>
      </c>
      <c r="U169" s="558">
        <f t="shared" si="62"/>
        <v>20891</v>
      </c>
      <c r="V169" s="558">
        <f t="shared" si="62"/>
        <v>21805</v>
      </c>
      <c r="W169" s="558">
        <f t="shared" si="62"/>
        <v>22759</v>
      </c>
      <c r="X169" s="558">
        <f t="shared" si="62"/>
        <v>23755</v>
      </c>
      <c r="Y169" s="558">
        <f t="shared" si="62"/>
        <v>24794</v>
      </c>
      <c r="Z169" s="558">
        <f t="shared" si="62"/>
        <v>25878</v>
      </c>
      <c r="AA169" s="558">
        <f t="shared" si="62"/>
        <v>27010</v>
      </c>
      <c r="AB169" s="558">
        <f t="shared" si="62"/>
        <v>28192</v>
      </c>
      <c r="AC169" s="558">
        <f t="shared" si="62"/>
        <v>29426</v>
      </c>
      <c r="AD169" s="558">
        <f t="shared" si="62"/>
        <v>30713</v>
      </c>
      <c r="AE169" s="558">
        <f t="shared" si="62"/>
        <v>31953</v>
      </c>
      <c r="AF169" s="558">
        <f t="shared" si="62"/>
        <v>0</v>
      </c>
      <c r="AG169" s="558">
        <f t="shared" si="62"/>
        <v>0</v>
      </c>
      <c r="AH169" s="558">
        <f t="shared" si="62"/>
        <v>0</v>
      </c>
      <c r="AI169" s="122">
        <f t="shared" si="62"/>
        <v>0</v>
      </c>
    </row>
    <row r="170" spans="1:35" ht="13.8" thickBot="1" x14ac:dyDescent="0.3">
      <c r="A170" s="556">
        <v>5933</v>
      </c>
      <c r="B170" s="560" t="s">
        <v>352</v>
      </c>
      <c r="C170" s="561">
        <f t="shared" ref="C170:AI170" si="63">+C139-C154</f>
        <v>8837</v>
      </c>
      <c r="D170" s="561">
        <f t="shared" si="63"/>
        <v>9202</v>
      </c>
      <c r="E170" s="561">
        <f t="shared" si="63"/>
        <v>9581</v>
      </c>
      <c r="F170" s="561">
        <f t="shared" si="63"/>
        <v>9976</v>
      </c>
      <c r="G170" s="561">
        <f t="shared" si="63"/>
        <v>10388</v>
      </c>
      <c r="H170" s="561">
        <f t="shared" si="63"/>
        <v>10816</v>
      </c>
      <c r="I170" s="561">
        <f t="shared" si="63"/>
        <v>11262</v>
      </c>
      <c r="J170" s="561">
        <f t="shared" si="63"/>
        <v>11727</v>
      </c>
      <c r="K170" s="561">
        <f t="shared" si="63"/>
        <v>12211</v>
      </c>
      <c r="L170" s="561">
        <f t="shared" si="63"/>
        <v>12714</v>
      </c>
      <c r="M170" s="561">
        <f t="shared" si="63"/>
        <v>13238</v>
      </c>
      <c r="N170" s="561">
        <f t="shared" si="63"/>
        <v>13784</v>
      </c>
      <c r="O170" s="561">
        <f t="shared" si="63"/>
        <v>14353</v>
      </c>
      <c r="P170" s="561">
        <f t="shared" si="63"/>
        <v>14945</v>
      </c>
      <c r="Q170" s="561">
        <f t="shared" si="63"/>
        <v>15562</v>
      </c>
      <c r="R170" s="561">
        <f t="shared" si="63"/>
        <v>16204</v>
      </c>
      <c r="S170" s="561">
        <f t="shared" si="63"/>
        <v>16872</v>
      </c>
      <c r="T170" s="561">
        <f t="shared" si="63"/>
        <v>17568</v>
      </c>
      <c r="U170" s="561">
        <f t="shared" si="63"/>
        <v>18293</v>
      </c>
      <c r="V170" s="561">
        <f t="shared" si="63"/>
        <v>19048</v>
      </c>
      <c r="W170" s="561">
        <f t="shared" si="63"/>
        <v>19833</v>
      </c>
      <c r="X170" s="561">
        <f t="shared" si="63"/>
        <v>20651</v>
      </c>
      <c r="Y170" s="561">
        <f t="shared" si="63"/>
        <v>21503</v>
      </c>
      <c r="Z170" s="561">
        <f t="shared" si="63"/>
        <v>22390</v>
      </c>
      <c r="AA170" s="561">
        <f t="shared" si="63"/>
        <v>23314</v>
      </c>
      <c r="AB170" s="561">
        <f t="shared" si="63"/>
        <v>24275</v>
      </c>
      <c r="AC170" s="561">
        <f t="shared" si="63"/>
        <v>25277</v>
      </c>
      <c r="AD170" s="561">
        <f t="shared" si="63"/>
        <v>26319</v>
      </c>
      <c r="AE170" s="561">
        <f t="shared" si="63"/>
        <v>27405</v>
      </c>
      <c r="AF170" s="561">
        <f t="shared" si="63"/>
        <v>28535</v>
      </c>
      <c r="AG170" s="561">
        <f t="shared" si="63"/>
        <v>29528</v>
      </c>
      <c r="AH170" s="561">
        <f t="shared" si="63"/>
        <v>0</v>
      </c>
      <c r="AI170" s="123">
        <f t="shared" si="63"/>
        <v>0</v>
      </c>
    </row>
    <row r="171" spans="1:35" x14ac:dyDescent="0.25">
      <c r="A171" s="556"/>
      <c r="B171" s="557"/>
      <c r="C171" s="562"/>
      <c r="D171" s="562"/>
      <c r="E171" s="562"/>
      <c r="F171" s="562"/>
      <c r="G171" s="562"/>
      <c r="H171" s="562"/>
      <c r="I171" s="562"/>
      <c r="J171" s="562"/>
      <c r="K171" s="562"/>
      <c r="L171" s="562"/>
      <c r="M171" s="562"/>
      <c r="N171" s="562"/>
      <c r="O171" s="562"/>
      <c r="P171" s="562"/>
      <c r="Q171" s="562"/>
      <c r="R171" s="562"/>
      <c r="S171" s="562"/>
      <c r="T171" s="562"/>
      <c r="U171" s="562"/>
      <c r="V171" s="562"/>
      <c r="W171" s="562"/>
      <c r="X171" s="562"/>
      <c r="Y171" s="562"/>
      <c r="Z171" s="562"/>
      <c r="AA171" s="562"/>
      <c r="AB171" s="562"/>
      <c r="AC171" s="562"/>
      <c r="AD171" s="562"/>
      <c r="AE171" s="562"/>
      <c r="AF171" s="562"/>
      <c r="AG171" s="562"/>
      <c r="AH171" s="562"/>
      <c r="AI171" s="170"/>
    </row>
    <row r="172" spans="1:35" x14ac:dyDescent="0.25">
      <c r="A172" s="556">
        <v>751</v>
      </c>
      <c r="B172" s="557" t="s">
        <v>229</v>
      </c>
      <c r="C172" s="562"/>
      <c r="D172" s="562"/>
      <c r="E172" s="562"/>
      <c r="F172" s="562"/>
      <c r="G172" s="562"/>
      <c r="H172" s="562"/>
      <c r="I172" s="562"/>
      <c r="J172" s="562"/>
      <c r="K172" s="562"/>
      <c r="L172" s="562"/>
      <c r="M172" s="562"/>
      <c r="N172" s="562"/>
      <c r="O172" s="562"/>
      <c r="P172" s="562"/>
      <c r="Q172" s="562"/>
      <c r="R172" s="562"/>
      <c r="S172" s="562"/>
      <c r="T172" s="562"/>
      <c r="U172" s="562"/>
      <c r="V172" s="562"/>
      <c r="W172" s="562"/>
      <c r="X172" s="562"/>
      <c r="Y172" s="562"/>
      <c r="Z172" s="562"/>
      <c r="AA172" s="562"/>
      <c r="AB172" s="562"/>
      <c r="AC172" s="562"/>
      <c r="AD172" s="562"/>
      <c r="AE172" s="562"/>
      <c r="AF172" s="562"/>
      <c r="AG172" s="562"/>
      <c r="AH172" s="562"/>
      <c r="AI172" s="170"/>
    </row>
    <row r="173" spans="1:35" x14ac:dyDescent="0.25">
      <c r="A173" s="556">
        <v>5930</v>
      </c>
      <c r="B173" s="560" t="s">
        <v>36</v>
      </c>
      <c r="C173" s="558">
        <f t="shared" ref="C173:AI173" si="64">+C142-C157</f>
        <v>6400</v>
      </c>
      <c r="D173" s="558">
        <f t="shared" si="64"/>
        <v>5456</v>
      </c>
      <c r="E173" s="558">
        <f t="shared" si="64"/>
        <v>4861</v>
      </c>
      <c r="F173" s="558">
        <f t="shared" si="64"/>
        <v>4255</v>
      </c>
      <c r="G173" s="558">
        <f t="shared" si="64"/>
        <v>3635</v>
      </c>
      <c r="H173" s="558">
        <f t="shared" si="64"/>
        <v>3004</v>
      </c>
      <c r="I173" s="558">
        <f t="shared" si="64"/>
        <v>2359</v>
      </c>
      <c r="J173" s="558">
        <f t="shared" si="64"/>
        <v>1701</v>
      </c>
      <c r="K173" s="558">
        <f t="shared" si="64"/>
        <v>1030</v>
      </c>
      <c r="L173" s="558">
        <f t="shared" si="64"/>
        <v>346</v>
      </c>
      <c r="M173" s="558">
        <f t="shared" si="64"/>
        <v>0</v>
      </c>
      <c r="N173" s="558">
        <f t="shared" si="64"/>
        <v>0</v>
      </c>
      <c r="O173" s="558">
        <f t="shared" si="64"/>
        <v>0</v>
      </c>
      <c r="P173" s="558">
        <f t="shared" si="64"/>
        <v>0</v>
      </c>
      <c r="Q173" s="558">
        <f t="shared" si="64"/>
        <v>0</v>
      </c>
      <c r="R173" s="558">
        <f t="shared" si="64"/>
        <v>0</v>
      </c>
      <c r="S173" s="558">
        <f t="shared" si="64"/>
        <v>0</v>
      </c>
      <c r="T173" s="558">
        <f t="shared" si="64"/>
        <v>0</v>
      </c>
      <c r="U173" s="558">
        <f t="shared" si="64"/>
        <v>0</v>
      </c>
      <c r="V173" s="558">
        <f t="shared" si="64"/>
        <v>0</v>
      </c>
      <c r="W173" s="558">
        <f t="shared" si="64"/>
        <v>0</v>
      </c>
      <c r="X173" s="558">
        <f t="shared" si="64"/>
        <v>0</v>
      </c>
      <c r="Y173" s="558">
        <f t="shared" si="64"/>
        <v>0</v>
      </c>
      <c r="Z173" s="558">
        <f t="shared" si="64"/>
        <v>0</v>
      </c>
      <c r="AA173" s="558">
        <f t="shared" si="64"/>
        <v>0</v>
      </c>
      <c r="AB173" s="558">
        <f t="shared" si="64"/>
        <v>0</v>
      </c>
      <c r="AC173" s="558">
        <f t="shared" si="64"/>
        <v>0</v>
      </c>
      <c r="AD173" s="558">
        <f t="shared" si="64"/>
        <v>0</v>
      </c>
      <c r="AE173" s="558">
        <f t="shared" si="64"/>
        <v>0</v>
      </c>
      <c r="AF173" s="558">
        <f t="shared" si="64"/>
        <v>0</v>
      </c>
      <c r="AG173" s="558">
        <f t="shared" si="64"/>
        <v>0</v>
      </c>
      <c r="AH173" s="558">
        <f t="shared" si="64"/>
        <v>0</v>
      </c>
      <c r="AI173" s="122">
        <f t="shared" si="64"/>
        <v>0</v>
      </c>
    </row>
    <row r="174" spans="1:35" x14ac:dyDescent="0.25">
      <c r="A174" s="556" t="s">
        <v>604</v>
      </c>
      <c r="B174" s="560" t="s">
        <v>39</v>
      </c>
      <c r="C174" s="558">
        <f t="shared" ref="C174:AI174" si="65">+C143-C158</f>
        <v>453</v>
      </c>
      <c r="D174" s="558">
        <f t="shared" si="65"/>
        <v>410</v>
      </c>
      <c r="E174" s="558">
        <f t="shared" si="65"/>
        <v>365</v>
      </c>
      <c r="F174" s="558">
        <f t="shared" si="65"/>
        <v>319</v>
      </c>
      <c r="G174" s="558">
        <f t="shared" si="65"/>
        <v>273</v>
      </c>
      <c r="H174" s="558">
        <f t="shared" si="65"/>
        <v>226</v>
      </c>
      <c r="I174" s="558">
        <f t="shared" si="65"/>
        <v>177</v>
      </c>
      <c r="J174" s="558">
        <f t="shared" si="65"/>
        <v>128</v>
      </c>
      <c r="K174" s="558">
        <f t="shared" si="65"/>
        <v>77</v>
      </c>
      <c r="L174" s="558">
        <f t="shared" si="65"/>
        <v>266</v>
      </c>
      <c r="M174" s="558">
        <f t="shared" si="65"/>
        <v>0</v>
      </c>
      <c r="N174" s="558">
        <f t="shared" si="65"/>
        <v>0</v>
      </c>
      <c r="O174" s="558">
        <f t="shared" si="65"/>
        <v>0</v>
      </c>
      <c r="P174" s="558">
        <f t="shared" si="65"/>
        <v>0</v>
      </c>
      <c r="Q174" s="558">
        <f t="shared" si="65"/>
        <v>0</v>
      </c>
      <c r="R174" s="558">
        <f t="shared" si="65"/>
        <v>0</v>
      </c>
      <c r="S174" s="558">
        <f t="shared" si="65"/>
        <v>0</v>
      </c>
      <c r="T174" s="558">
        <f t="shared" si="65"/>
        <v>0</v>
      </c>
      <c r="U174" s="558">
        <f t="shared" si="65"/>
        <v>0</v>
      </c>
      <c r="V174" s="558">
        <f t="shared" si="65"/>
        <v>0</v>
      </c>
      <c r="W174" s="558">
        <f t="shared" si="65"/>
        <v>0</v>
      </c>
      <c r="X174" s="558">
        <f t="shared" si="65"/>
        <v>0</v>
      </c>
      <c r="Y174" s="558">
        <f t="shared" si="65"/>
        <v>0</v>
      </c>
      <c r="Z174" s="558">
        <f t="shared" si="65"/>
        <v>0</v>
      </c>
      <c r="AA174" s="558">
        <f t="shared" si="65"/>
        <v>0</v>
      </c>
      <c r="AB174" s="558">
        <f t="shared" si="65"/>
        <v>0</v>
      </c>
      <c r="AC174" s="558">
        <f t="shared" si="65"/>
        <v>0</v>
      </c>
      <c r="AD174" s="558">
        <f t="shared" si="65"/>
        <v>0</v>
      </c>
      <c r="AE174" s="558">
        <f t="shared" si="65"/>
        <v>0</v>
      </c>
      <c r="AF174" s="558">
        <f t="shared" si="65"/>
        <v>0</v>
      </c>
      <c r="AG174" s="558">
        <f t="shared" si="65"/>
        <v>0</v>
      </c>
      <c r="AH174" s="558">
        <f t="shared" si="65"/>
        <v>0</v>
      </c>
      <c r="AI174" s="122">
        <f t="shared" si="65"/>
        <v>0</v>
      </c>
    </row>
    <row r="175" spans="1:35" x14ac:dyDescent="0.25">
      <c r="A175" s="556">
        <v>5931</v>
      </c>
      <c r="B175" s="560" t="s">
        <v>37</v>
      </c>
      <c r="C175" s="558">
        <f t="shared" ref="C175:AI175" si="66">+C144-C159</f>
        <v>21081</v>
      </c>
      <c r="D175" s="558">
        <f t="shared" si="66"/>
        <v>20202</v>
      </c>
      <c r="E175" s="558">
        <f t="shared" si="66"/>
        <v>19381</v>
      </c>
      <c r="F175" s="558">
        <f t="shared" si="66"/>
        <v>18540</v>
      </c>
      <c r="G175" s="558">
        <f t="shared" si="66"/>
        <v>17678</v>
      </c>
      <c r="H175" s="558">
        <f t="shared" si="66"/>
        <v>16795</v>
      </c>
      <c r="I175" s="558">
        <f t="shared" si="66"/>
        <v>15890</v>
      </c>
      <c r="J175" s="558">
        <f t="shared" si="66"/>
        <v>14964</v>
      </c>
      <c r="K175" s="558">
        <f t="shared" si="66"/>
        <v>14015</v>
      </c>
      <c r="L175" s="558">
        <f t="shared" si="66"/>
        <v>13042</v>
      </c>
      <c r="M175" s="558">
        <f t="shared" si="66"/>
        <v>12046</v>
      </c>
      <c r="N175" s="558">
        <f t="shared" si="66"/>
        <v>11026</v>
      </c>
      <c r="O175" s="558">
        <f t="shared" si="66"/>
        <v>9980</v>
      </c>
      <c r="P175" s="558">
        <f t="shared" si="66"/>
        <v>8909</v>
      </c>
      <c r="Q175" s="558">
        <f t="shared" si="66"/>
        <v>7812</v>
      </c>
      <c r="R175" s="558">
        <f t="shared" si="66"/>
        <v>6688</v>
      </c>
      <c r="S175" s="558">
        <f t="shared" si="66"/>
        <v>5536</v>
      </c>
      <c r="T175" s="558">
        <f t="shared" si="66"/>
        <v>4357</v>
      </c>
      <c r="U175" s="558">
        <f t="shared" si="66"/>
        <v>3148</v>
      </c>
      <c r="V175" s="558">
        <f t="shared" si="66"/>
        <v>1910</v>
      </c>
      <c r="W175" s="558">
        <f t="shared" si="66"/>
        <v>642</v>
      </c>
      <c r="X175" s="558">
        <f t="shared" si="66"/>
        <v>0</v>
      </c>
      <c r="Y175" s="558">
        <f t="shared" si="66"/>
        <v>0</v>
      </c>
      <c r="Z175" s="558">
        <f t="shared" si="66"/>
        <v>0</v>
      </c>
      <c r="AA175" s="558">
        <f t="shared" si="66"/>
        <v>0</v>
      </c>
      <c r="AB175" s="558">
        <f t="shared" si="66"/>
        <v>0</v>
      </c>
      <c r="AC175" s="558">
        <f t="shared" si="66"/>
        <v>0</v>
      </c>
      <c r="AD175" s="558">
        <f t="shared" si="66"/>
        <v>0</v>
      </c>
      <c r="AE175" s="558">
        <f t="shared" si="66"/>
        <v>0</v>
      </c>
      <c r="AF175" s="558">
        <f t="shared" si="66"/>
        <v>0</v>
      </c>
      <c r="AG175" s="558">
        <f t="shared" si="66"/>
        <v>0</v>
      </c>
      <c r="AH175" s="558">
        <f t="shared" si="66"/>
        <v>0</v>
      </c>
      <c r="AI175" s="122">
        <f t="shared" si="66"/>
        <v>0</v>
      </c>
    </row>
    <row r="176" spans="1:35" x14ac:dyDescent="0.25">
      <c r="A176" s="556" t="s">
        <v>605</v>
      </c>
      <c r="B176" s="560" t="s">
        <v>40</v>
      </c>
      <c r="C176" s="558">
        <f t="shared" ref="C176:AI176" si="67">+C145-C160</f>
        <v>1306</v>
      </c>
      <c r="D176" s="558">
        <f t="shared" si="67"/>
        <v>1256</v>
      </c>
      <c r="E176" s="558">
        <f t="shared" si="67"/>
        <v>1205</v>
      </c>
      <c r="F176" s="558">
        <f t="shared" si="67"/>
        <v>1152</v>
      </c>
      <c r="G176" s="558">
        <f t="shared" si="67"/>
        <v>1099</v>
      </c>
      <c r="H176" s="558">
        <f t="shared" si="67"/>
        <v>1044</v>
      </c>
      <c r="I176" s="558">
        <f t="shared" si="67"/>
        <v>988</v>
      </c>
      <c r="J176" s="558">
        <f t="shared" si="67"/>
        <v>870</v>
      </c>
      <c r="K176" s="558">
        <f t="shared" si="67"/>
        <v>871</v>
      </c>
      <c r="L176" s="558">
        <f t="shared" si="67"/>
        <v>811</v>
      </c>
      <c r="M176" s="558">
        <f t="shared" si="67"/>
        <v>749</v>
      </c>
      <c r="N176" s="558">
        <f t="shared" si="67"/>
        <v>685</v>
      </c>
      <c r="O176" s="558">
        <f t="shared" si="67"/>
        <v>620</v>
      </c>
      <c r="P176" s="558">
        <f t="shared" si="67"/>
        <v>554</v>
      </c>
      <c r="Q176" s="558">
        <f t="shared" si="67"/>
        <v>485</v>
      </c>
      <c r="R176" s="558">
        <f t="shared" si="67"/>
        <v>416</v>
      </c>
      <c r="S176" s="558">
        <f t="shared" si="67"/>
        <v>344</v>
      </c>
      <c r="T176" s="558">
        <f t="shared" si="67"/>
        <v>271</v>
      </c>
      <c r="U176" s="558">
        <f t="shared" si="67"/>
        <v>196</v>
      </c>
      <c r="V176" s="558">
        <f t="shared" si="67"/>
        <v>119</v>
      </c>
      <c r="W176" s="558">
        <f t="shared" si="67"/>
        <v>40</v>
      </c>
      <c r="X176" s="558">
        <f t="shared" si="67"/>
        <v>0</v>
      </c>
      <c r="Y176" s="558">
        <f t="shared" si="67"/>
        <v>0</v>
      </c>
      <c r="Z176" s="558">
        <f t="shared" si="67"/>
        <v>0</v>
      </c>
      <c r="AA176" s="558">
        <f t="shared" si="67"/>
        <v>0</v>
      </c>
      <c r="AB176" s="558">
        <f t="shared" si="67"/>
        <v>0</v>
      </c>
      <c r="AC176" s="558">
        <f t="shared" si="67"/>
        <v>0</v>
      </c>
      <c r="AD176" s="558">
        <f t="shared" si="67"/>
        <v>0</v>
      </c>
      <c r="AE176" s="558">
        <f t="shared" si="67"/>
        <v>0</v>
      </c>
      <c r="AF176" s="558">
        <f t="shared" si="67"/>
        <v>0</v>
      </c>
      <c r="AG176" s="558">
        <f t="shared" si="67"/>
        <v>0</v>
      </c>
      <c r="AH176" s="558">
        <f t="shared" si="67"/>
        <v>0</v>
      </c>
      <c r="AI176" s="122">
        <f t="shared" si="67"/>
        <v>0</v>
      </c>
    </row>
    <row r="177" spans="1:35" x14ac:dyDescent="0.25">
      <c r="A177" s="556">
        <v>5932</v>
      </c>
      <c r="B177" s="560" t="s">
        <v>38</v>
      </c>
      <c r="C177" s="558">
        <f t="shared" ref="C177:AI177" si="68">+C146-C161</f>
        <v>23789</v>
      </c>
      <c r="D177" s="558">
        <f t="shared" si="68"/>
        <v>23366</v>
      </c>
      <c r="E177" s="558">
        <f t="shared" si="68"/>
        <v>22925</v>
      </c>
      <c r="F177" s="558">
        <f t="shared" si="68"/>
        <v>22465</v>
      </c>
      <c r="G177" s="558">
        <f t="shared" si="68"/>
        <v>21983</v>
      </c>
      <c r="H177" s="558">
        <f t="shared" si="68"/>
        <v>21482</v>
      </c>
      <c r="I177" s="558">
        <f t="shared" si="68"/>
        <v>20958</v>
      </c>
      <c r="J177" s="558">
        <f t="shared" si="68"/>
        <v>20411</v>
      </c>
      <c r="K177" s="558">
        <f t="shared" si="68"/>
        <v>19841</v>
      </c>
      <c r="L177" s="558">
        <f t="shared" si="68"/>
        <v>19245</v>
      </c>
      <c r="M177" s="558">
        <f t="shared" si="68"/>
        <v>18623</v>
      </c>
      <c r="N177" s="558">
        <f t="shared" si="68"/>
        <v>17974</v>
      </c>
      <c r="O177" s="558">
        <f t="shared" si="68"/>
        <v>17297</v>
      </c>
      <c r="P177" s="558">
        <f t="shared" si="68"/>
        <v>16590</v>
      </c>
      <c r="Q177" s="558">
        <f t="shared" si="68"/>
        <v>15853</v>
      </c>
      <c r="R177" s="558">
        <f t="shared" si="68"/>
        <v>15082</v>
      </c>
      <c r="S177" s="558">
        <f t="shared" si="68"/>
        <v>14279</v>
      </c>
      <c r="T177" s="558">
        <f t="shared" si="68"/>
        <v>13439</v>
      </c>
      <c r="U177" s="558">
        <f t="shared" si="68"/>
        <v>12564</v>
      </c>
      <c r="V177" s="558">
        <f t="shared" si="68"/>
        <v>11650</v>
      </c>
      <c r="W177" s="558">
        <f t="shared" si="68"/>
        <v>10696</v>
      </c>
      <c r="X177" s="558">
        <f t="shared" si="68"/>
        <v>9700</v>
      </c>
      <c r="Y177" s="558">
        <f t="shared" si="68"/>
        <v>8661</v>
      </c>
      <c r="Z177" s="558">
        <f t="shared" si="68"/>
        <v>7577</v>
      </c>
      <c r="AA177" s="558">
        <f t="shared" si="68"/>
        <v>6445</v>
      </c>
      <c r="AB177" s="558">
        <f t="shared" si="68"/>
        <v>5263</v>
      </c>
      <c r="AC177" s="558">
        <f t="shared" si="68"/>
        <v>4029</v>
      </c>
      <c r="AD177" s="558">
        <f t="shared" si="68"/>
        <v>2742</v>
      </c>
      <c r="AE177" s="558">
        <f t="shared" si="68"/>
        <v>1398</v>
      </c>
      <c r="AF177" s="558">
        <f t="shared" si="68"/>
        <v>0</v>
      </c>
      <c r="AG177" s="558">
        <f t="shared" si="68"/>
        <v>0</v>
      </c>
      <c r="AH177" s="558">
        <f t="shared" si="68"/>
        <v>0</v>
      </c>
      <c r="AI177" s="122">
        <f t="shared" si="68"/>
        <v>0</v>
      </c>
    </row>
    <row r="178" spans="1:35" ht="13.8" thickBot="1" x14ac:dyDescent="0.3">
      <c r="A178" s="556">
        <v>5933</v>
      </c>
      <c r="B178" s="560" t="s">
        <v>352</v>
      </c>
      <c r="C178" s="561">
        <f t="shared" ref="C178:AI178" si="69">+C147-C162</f>
        <v>22094</v>
      </c>
      <c r="D178" s="561">
        <f t="shared" si="69"/>
        <v>21729</v>
      </c>
      <c r="E178" s="561">
        <f t="shared" si="69"/>
        <v>21350</v>
      </c>
      <c r="F178" s="561">
        <f t="shared" si="69"/>
        <v>20954</v>
      </c>
      <c r="G178" s="561">
        <f t="shared" si="69"/>
        <v>20543</v>
      </c>
      <c r="H178" s="561">
        <f t="shared" si="69"/>
        <v>20114</v>
      </c>
      <c r="I178" s="561">
        <f t="shared" si="69"/>
        <v>19669</v>
      </c>
      <c r="J178" s="561">
        <f t="shared" si="69"/>
        <v>19204</v>
      </c>
      <c r="K178" s="561">
        <f t="shared" si="69"/>
        <v>18720</v>
      </c>
      <c r="L178" s="561">
        <f t="shared" si="69"/>
        <v>18217</v>
      </c>
      <c r="M178" s="561">
        <f t="shared" si="69"/>
        <v>17692</v>
      </c>
      <c r="N178" s="561">
        <f t="shared" si="69"/>
        <v>17146</v>
      </c>
      <c r="O178" s="561">
        <f t="shared" si="69"/>
        <v>16577</v>
      </c>
      <c r="P178" s="561">
        <f t="shared" si="69"/>
        <v>15985</v>
      </c>
      <c r="Q178" s="561">
        <f t="shared" si="69"/>
        <v>15369</v>
      </c>
      <c r="R178" s="561">
        <f t="shared" si="69"/>
        <v>14727</v>
      </c>
      <c r="S178" s="561">
        <f t="shared" si="69"/>
        <v>14059</v>
      </c>
      <c r="T178" s="561">
        <f t="shared" si="69"/>
        <v>13363</v>
      </c>
      <c r="U178" s="561">
        <f t="shared" si="69"/>
        <v>12638</v>
      </c>
      <c r="V178" s="561">
        <f t="shared" si="69"/>
        <v>11883</v>
      </c>
      <c r="W178" s="561">
        <f t="shared" si="69"/>
        <v>11098</v>
      </c>
      <c r="X178" s="561">
        <f t="shared" si="69"/>
        <v>10280</v>
      </c>
      <c r="Y178" s="561">
        <f t="shared" si="69"/>
        <v>9428</v>
      </c>
      <c r="Z178" s="561">
        <f t="shared" si="69"/>
        <v>8540</v>
      </c>
      <c r="AA178" s="561">
        <f t="shared" si="69"/>
        <v>7617</v>
      </c>
      <c r="AB178" s="561">
        <f t="shared" si="69"/>
        <v>6655</v>
      </c>
      <c r="AC178" s="561">
        <f t="shared" si="69"/>
        <v>5654</v>
      </c>
      <c r="AD178" s="561">
        <f t="shared" si="69"/>
        <v>4612</v>
      </c>
      <c r="AE178" s="561">
        <f t="shared" si="69"/>
        <v>3526</v>
      </c>
      <c r="AF178" s="561">
        <f t="shared" si="69"/>
        <v>2395</v>
      </c>
      <c r="AG178" s="561">
        <f t="shared" si="69"/>
        <v>1218</v>
      </c>
      <c r="AH178" s="561">
        <f t="shared" si="69"/>
        <v>0</v>
      </c>
      <c r="AI178" s="123">
        <f t="shared" si="69"/>
        <v>0</v>
      </c>
    </row>
    <row r="179" spans="1:35" x14ac:dyDescent="0.25">
      <c r="A179" s="556"/>
      <c r="B179" s="557"/>
      <c r="C179" s="555"/>
      <c r="D179" s="555"/>
      <c r="E179" s="555"/>
      <c r="F179" s="555"/>
      <c r="G179" s="555"/>
      <c r="H179" s="555"/>
      <c r="I179" s="555"/>
      <c r="J179" s="555"/>
      <c r="K179" s="555"/>
      <c r="L179" s="555"/>
      <c r="M179" s="555"/>
      <c r="N179" s="555"/>
      <c r="O179" s="555"/>
      <c r="P179" s="555"/>
      <c r="Q179" s="555"/>
      <c r="R179" s="555"/>
      <c r="S179" s="555"/>
      <c r="T179" s="555"/>
      <c r="U179" s="555"/>
      <c r="V179" s="555"/>
      <c r="W179" s="555"/>
      <c r="X179" s="555"/>
      <c r="Y179" s="555"/>
      <c r="Z179" s="555"/>
      <c r="AA179" s="555"/>
      <c r="AB179" s="555"/>
      <c r="AC179" s="555"/>
      <c r="AD179" s="555"/>
      <c r="AE179" s="555"/>
      <c r="AF179" s="555"/>
      <c r="AG179" s="555"/>
      <c r="AH179" s="555"/>
      <c r="AI179" s="124"/>
    </row>
    <row r="180" spans="1:35" x14ac:dyDescent="0.25">
      <c r="A180" s="26"/>
      <c r="B180" s="26"/>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row>
    <row r="206" spans="2:35" x14ac:dyDescent="0.25">
      <c r="B206" t="s">
        <v>902</v>
      </c>
      <c r="C206" s="2" t="e">
        <f>+#REF!</f>
        <v>#REF!</v>
      </c>
      <c r="D206" s="2" t="e">
        <f>+#REF!</f>
        <v>#REF!</v>
      </c>
      <c r="E206" s="2" t="e">
        <f>+#REF!</f>
        <v>#REF!</v>
      </c>
      <c r="F206" s="2" t="e">
        <f>+#REF!</f>
        <v>#REF!</v>
      </c>
      <c r="G206" s="2" t="e">
        <f>+#REF!</f>
        <v>#REF!</v>
      </c>
      <c r="H206" s="2" t="e">
        <f>+#REF!</f>
        <v>#REF!</v>
      </c>
      <c r="I206" s="2" t="e">
        <f>+#REF!</f>
        <v>#REF!</v>
      </c>
      <c r="J206" s="2" t="e">
        <f>+#REF!</f>
        <v>#REF!</v>
      </c>
      <c r="K206" s="2" t="e">
        <f>+#REF!</f>
        <v>#REF!</v>
      </c>
      <c r="L206" s="2" t="e">
        <f>+#REF!</f>
        <v>#REF!</v>
      </c>
      <c r="M206" s="2" t="e">
        <f>+#REF!</f>
        <v>#REF!</v>
      </c>
      <c r="N206" s="2" t="e">
        <f>+#REF!</f>
        <v>#REF!</v>
      </c>
      <c r="O206" s="2" t="e">
        <f>+#REF!</f>
        <v>#REF!</v>
      </c>
      <c r="P206" s="2" t="e">
        <f>+#REF!</f>
        <v>#REF!</v>
      </c>
      <c r="Q206" s="2" t="e">
        <f>+#REF!</f>
        <v>#REF!</v>
      </c>
      <c r="R206" s="2" t="e">
        <f>+#REF!</f>
        <v>#REF!</v>
      </c>
      <c r="S206" s="2" t="e">
        <f>+#REF!</f>
        <v>#REF!</v>
      </c>
      <c r="T206" s="2" t="e">
        <f>+#REF!</f>
        <v>#REF!</v>
      </c>
      <c r="U206" s="2" t="e">
        <f>+#REF!</f>
        <v>#REF!</v>
      </c>
      <c r="V206" s="2" t="e">
        <f>+#REF!</f>
        <v>#REF!</v>
      </c>
      <c r="W206" s="2" t="e">
        <f>+#REF!</f>
        <v>#REF!</v>
      </c>
      <c r="X206" s="2" t="e">
        <f>+#REF!</f>
        <v>#REF!</v>
      </c>
      <c r="Y206" s="2" t="e">
        <f>+#REF!</f>
        <v>#REF!</v>
      </c>
      <c r="Z206" s="2" t="e">
        <f>+#REF!</f>
        <v>#REF!</v>
      </c>
      <c r="AA206" s="2" t="e">
        <f>+#REF!</f>
        <v>#REF!</v>
      </c>
      <c r="AB206" s="2" t="e">
        <f>+#REF!</f>
        <v>#REF!</v>
      </c>
      <c r="AC206" s="2" t="e">
        <f>+#REF!</f>
        <v>#REF!</v>
      </c>
      <c r="AD206" s="2" t="e">
        <f>+#REF!</f>
        <v>#REF!</v>
      </c>
      <c r="AE206" s="2" t="e">
        <f>+#REF!</f>
        <v>#REF!</v>
      </c>
      <c r="AF206" s="2" t="e">
        <f>+#REF!</f>
        <v>#REF!</v>
      </c>
      <c r="AG206" s="2" t="e">
        <f>+#REF!</f>
        <v>#REF!</v>
      </c>
      <c r="AH206" s="2" t="e">
        <f>+#REF!</f>
        <v>#REF!</v>
      </c>
      <c r="AI206" s="2" t="e">
        <f>+#REF!</f>
        <v>#REF!</v>
      </c>
    </row>
    <row r="207" spans="2:35" ht="15" x14ac:dyDescent="0.4">
      <c r="B207" t="s">
        <v>903</v>
      </c>
      <c r="C207" s="366" t="e">
        <f>+#REF!</f>
        <v>#REF!</v>
      </c>
      <c r="D207" s="366" t="e">
        <f>+#REF!</f>
        <v>#REF!</v>
      </c>
      <c r="E207" s="366" t="e">
        <f>+#REF!</f>
        <v>#REF!</v>
      </c>
      <c r="F207" s="366" t="e">
        <f>+#REF!</f>
        <v>#REF!</v>
      </c>
      <c r="G207" s="366" t="e">
        <f>+#REF!</f>
        <v>#REF!</v>
      </c>
      <c r="H207" s="366" t="e">
        <f>+#REF!</f>
        <v>#REF!</v>
      </c>
      <c r="I207" s="366" t="e">
        <f>+#REF!</f>
        <v>#REF!</v>
      </c>
      <c r="J207" s="366" t="e">
        <f>+#REF!</f>
        <v>#REF!</v>
      </c>
      <c r="K207" s="366" t="e">
        <f>+#REF!</f>
        <v>#REF!</v>
      </c>
      <c r="L207" s="366" t="e">
        <f>+#REF!</f>
        <v>#REF!</v>
      </c>
      <c r="M207" s="366" t="e">
        <f>+#REF!</f>
        <v>#REF!</v>
      </c>
      <c r="N207" s="366" t="e">
        <f>+#REF!</f>
        <v>#REF!</v>
      </c>
      <c r="O207" s="366" t="e">
        <f>+#REF!</f>
        <v>#REF!</v>
      </c>
      <c r="P207" s="366" t="e">
        <f>+#REF!</f>
        <v>#REF!</v>
      </c>
      <c r="Q207" s="366" t="e">
        <f>+#REF!</f>
        <v>#REF!</v>
      </c>
      <c r="R207" s="366" t="e">
        <f>+#REF!</f>
        <v>#REF!</v>
      </c>
      <c r="S207" s="366" t="e">
        <f>+#REF!</f>
        <v>#REF!</v>
      </c>
      <c r="T207" s="366" t="e">
        <f>+#REF!</f>
        <v>#REF!</v>
      </c>
      <c r="U207" s="366" t="e">
        <f>+#REF!</f>
        <v>#REF!</v>
      </c>
      <c r="V207" s="366" t="e">
        <f>+#REF!</f>
        <v>#REF!</v>
      </c>
      <c r="W207" s="366" t="e">
        <f>+#REF!</f>
        <v>#REF!</v>
      </c>
      <c r="X207" s="366" t="e">
        <f>+#REF!</f>
        <v>#REF!</v>
      </c>
      <c r="Y207" s="366" t="e">
        <f>+#REF!</f>
        <v>#REF!</v>
      </c>
      <c r="Z207" s="366" t="e">
        <f>+#REF!</f>
        <v>#REF!</v>
      </c>
      <c r="AA207" s="366" t="e">
        <f>+#REF!</f>
        <v>#REF!</v>
      </c>
      <c r="AB207" s="366" t="e">
        <f>+#REF!</f>
        <v>#REF!</v>
      </c>
      <c r="AC207" s="366" t="e">
        <f>+#REF!</f>
        <v>#REF!</v>
      </c>
      <c r="AD207" s="366" t="e">
        <f>+#REF!</f>
        <v>#REF!</v>
      </c>
      <c r="AE207" s="366" t="e">
        <f>+#REF!</f>
        <v>#REF!</v>
      </c>
      <c r="AF207" s="366" t="e">
        <f>+#REF!</f>
        <v>#REF!</v>
      </c>
      <c r="AG207" s="366" t="e">
        <f>+#REF!</f>
        <v>#REF!</v>
      </c>
      <c r="AH207" s="366" t="e">
        <f>+#REF!</f>
        <v>#REF!</v>
      </c>
      <c r="AI207" s="366" t="e">
        <f>+#REF!</f>
        <v>#REF!</v>
      </c>
    </row>
    <row r="208" spans="2:35" x14ac:dyDescent="0.25">
      <c r="B208" t="s">
        <v>180</v>
      </c>
      <c r="C208" s="2" t="e">
        <f t="shared" ref="C208:AI208" si="70">SUM(C206:C207)</f>
        <v>#REF!</v>
      </c>
      <c r="D208" s="2" t="e">
        <f t="shared" si="70"/>
        <v>#REF!</v>
      </c>
      <c r="E208" s="2" t="e">
        <f t="shared" si="70"/>
        <v>#REF!</v>
      </c>
      <c r="F208" s="2" t="e">
        <f t="shared" si="70"/>
        <v>#REF!</v>
      </c>
      <c r="G208" s="2" t="e">
        <f t="shared" si="70"/>
        <v>#REF!</v>
      </c>
      <c r="H208" s="2" t="e">
        <f t="shared" si="70"/>
        <v>#REF!</v>
      </c>
      <c r="I208" s="2" t="e">
        <f t="shared" si="70"/>
        <v>#REF!</v>
      </c>
      <c r="J208" s="2" t="e">
        <f t="shared" si="70"/>
        <v>#REF!</v>
      </c>
      <c r="K208" s="2" t="e">
        <f t="shared" si="70"/>
        <v>#REF!</v>
      </c>
      <c r="L208" s="2" t="e">
        <f t="shared" si="70"/>
        <v>#REF!</v>
      </c>
      <c r="M208" s="2" t="e">
        <f t="shared" si="70"/>
        <v>#REF!</v>
      </c>
      <c r="N208" s="2" t="e">
        <f t="shared" si="70"/>
        <v>#REF!</v>
      </c>
      <c r="O208" s="2" t="e">
        <f t="shared" si="70"/>
        <v>#REF!</v>
      </c>
      <c r="P208" s="2" t="e">
        <f t="shared" si="70"/>
        <v>#REF!</v>
      </c>
      <c r="Q208" s="2" t="e">
        <f t="shared" si="70"/>
        <v>#REF!</v>
      </c>
      <c r="R208" s="2" t="e">
        <f t="shared" si="70"/>
        <v>#REF!</v>
      </c>
      <c r="S208" s="2" t="e">
        <f t="shared" si="70"/>
        <v>#REF!</v>
      </c>
      <c r="T208" s="2" t="e">
        <f t="shared" si="70"/>
        <v>#REF!</v>
      </c>
      <c r="U208" s="2" t="e">
        <f t="shared" si="70"/>
        <v>#REF!</v>
      </c>
      <c r="V208" s="2" t="e">
        <f t="shared" si="70"/>
        <v>#REF!</v>
      </c>
      <c r="W208" s="2" t="e">
        <f t="shared" si="70"/>
        <v>#REF!</v>
      </c>
      <c r="X208" s="2" t="e">
        <f t="shared" si="70"/>
        <v>#REF!</v>
      </c>
      <c r="Y208" s="2" t="e">
        <f t="shared" si="70"/>
        <v>#REF!</v>
      </c>
      <c r="Z208" s="2" t="e">
        <f t="shared" si="70"/>
        <v>#REF!</v>
      </c>
      <c r="AA208" s="2" t="e">
        <f t="shared" si="70"/>
        <v>#REF!</v>
      </c>
      <c r="AB208" s="2" t="e">
        <f t="shared" si="70"/>
        <v>#REF!</v>
      </c>
      <c r="AC208" s="2" t="e">
        <f t="shared" si="70"/>
        <v>#REF!</v>
      </c>
      <c r="AD208" s="2" t="e">
        <f t="shared" si="70"/>
        <v>#REF!</v>
      </c>
      <c r="AE208" s="2" t="e">
        <f t="shared" si="70"/>
        <v>#REF!</v>
      </c>
      <c r="AF208" s="2" t="e">
        <f t="shared" si="70"/>
        <v>#REF!</v>
      </c>
      <c r="AG208" s="2" t="e">
        <f t="shared" si="70"/>
        <v>#REF!</v>
      </c>
      <c r="AH208" s="2" t="e">
        <f t="shared" si="70"/>
        <v>#REF!</v>
      </c>
      <c r="AI208" s="2" t="e">
        <f t="shared" si="70"/>
        <v>#REF!</v>
      </c>
    </row>
    <row r="210" spans="2:35" x14ac:dyDescent="0.25">
      <c r="B210" s="240" t="s">
        <v>904</v>
      </c>
      <c r="C210" s="2" t="e">
        <f>+C208-#REF!</f>
        <v>#REF!</v>
      </c>
      <c r="D210" s="2" t="e">
        <f>+D208-#REF!</f>
        <v>#REF!</v>
      </c>
      <c r="E210" s="2" t="e">
        <f>+E208-#REF!</f>
        <v>#REF!</v>
      </c>
      <c r="F210" s="2" t="e">
        <f>+F208-#REF!</f>
        <v>#REF!</v>
      </c>
      <c r="G210" s="2" t="e">
        <f>+G208-#REF!</f>
        <v>#REF!</v>
      </c>
      <c r="H210" s="2" t="e">
        <f>+H208-#REF!</f>
        <v>#REF!</v>
      </c>
      <c r="I210" s="2" t="e">
        <f>+I208-#REF!</f>
        <v>#REF!</v>
      </c>
      <c r="J210" s="2" t="e">
        <f>+J208-#REF!</f>
        <v>#REF!</v>
      </c>
      <c r="K210" s="2" t="e">
        <f>+K208-#REF!</f>
        <v>#REF!</v>
      </c>
      <c r="L210" s="2" t="e">
        <f>+L208-#REF!</f>
        <v>#REF!</v>
      </c>
      <c r="M210" s="2" t="e">
        <f>+M208-#REF!</f>
        <v>#REF!</v>
      </c>
      <c r="N210" s="2" t="e">
        <f>+N208-#REF!</f>
        <v>#REF!</v>
      </c>
      <c r="O210" s="2" t="e">
        <f>+O208-#REF!</f>
        <v>#REF!</v>
      </c>
      <c r="P210" s="2" t="e">
        <f>+P208-#REF!</f>
        <v>#REF!</v>
      </c>
      <c r="Q210" s="2" t="e">
        <f>+Q208-#REF!</f>
        <v>#REF!</v>
      </c>
      <c r="R210" s="2" t="e">
        <f>+R208-#REF!</f>
        <v>#REF!</v>
      </c>
      <c r="S210" s="2" t="e">
        <f>+S208-#REF!</f>
        <v>#REF!</v>
      </c>
      <c r="T210" s="2" t="e">
        <f>+T208-#REF!</f>
        <v>#REF!</v>
      </c>
      <c r="U210" s="2" t="e">
        <f>+U208-#REF!</f>
        <v>#REF!</v>
      </c>
      <c r="V210" s="2" t="e">
        <f>+V208-#REF!</f>
        <v>#REF!</v>
      </c>
      <c r="W210" s="2" t="e">
        <f>+W208-#REF!</f>
        <v>#REF!</v>
      </c>
      <c r="X210" s="2" t="e">
        <f>+X208-#REF!</f>
        <v>#REF!</v>
      </c>
      <c r="Y210" s="2" t="e">
        <f>+Y208-#REF!</f>
        <v>#REF!</v>
      </c>
      <c r="Z210" s="2" t="e">
        <f>+Z208-#REF!</f>
        <v>#REF!</v>
      </c>
      <c r="AA210" s="2" t="e">
        <f>+AA208-#REF!</f>
        <v>#REF!</v>
      </c>
      <c r="AB210" s="2" t="e">
        <f>+AB208-#REF!</f>
        <v>#REF!</v>
      </c>
      <c r="AC210" s="2" t="e">
        <f>+AC208-#REF!</f>
        <v>#REF!</v>
      </c>
      <c r="AD210" s="2" t="e">
        <f>+AD208-#REF!</f>
        <v>#REF!</v>
      </c>
      <c r="AE210" s="2" t="e">
        <f>+AE208-#REF!</f>
        <v>#REF!</v>
      </c>
      <c r="AF210" s="2" t="e">
        <f>+AF208-#REF!</f>
        <v>#REF!</v>
      </c>
      <c r="AG210" s="2" t="e">
        <f>+AG208-#REF!</f>
        <v>#REF!</v>
      </c>
      <c r="AH210" s="2" t="e">
        <f>+AH208-#REF!</f>
        <v>#REF!</v>
      </c>
      <c r="AI210" s="2" t="e">
        <f>+AI208-#REF!</f>
        <v>#REF!</v>
      </c>
    </row>
  </sheetData>
  <hyperlinks>
    <hyperlink ref="A1" location="'Table of Contents'!A1" display="TOC" xr:uid="{00000000-0004-0000-4500-000000000000}"/>
  </hyperlinks>
  <pageMargins left="0.7" right="0.7" top="0.75" bottom="0.75" header="0.3" footer="0.3"/>
  <pageSetup orientation="portrait" r:id="rId1"/>
  <headerFooter>
    <oddFooter>&amp;L&amp;D &amp;T&amp;C&amp;F&amp;R&amp;A &amp;P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rgb="FF92D050"/>
  </sheetPr>
  <dimension ref="A1:J62"/>
  <sheetViews>
    <sheetView workbookViewId="0">
      <selection sqref="A1:A1048576"/>
    </sheetView>
  </sheetViews>
  <sheetFormatPr defaultRowHeight="13.2" x14ac:dyDescent="0.25"/>
  <cols>
    <col min="1" max="1" width="9.33203125" style="885" customWidth="1"/>
    <col min="2" max="2" width="11.33203125" customWidth="1"/>
    <col min="3" max="3" width="11" customWidth="1"/>
    <col min="5" max="5" width="11.44140625" bestFit="1" customWidth="1"/>
  </cols>
  <sheetData>
    <row r="1" spans="1:10" x14ac:dyDescent="0.25">
      <c r="A1" s="885" t="s">
        <v>1088</v>
      </c>
      <c r="B1" s="2"/>
      <c r="H1" s="371" t="s">
        <v>1348</v>
      </c>
    </row>
    <row r="2" spans="1:10" x14ac:dyDescent="0.25">
      <c r="B2" s="2"/>
      <c r="C2" t="s">
        <v>1089</v>
      </c>
    </row>
    <row r="3" spans="1:10" x14ac:dyDescent="0.25">
      <c r="A3" s="946"/>
      <c r="B3" s="3"/>
      <c r="C3" s="448">
        <v>0.9</v>
      </c>
      <c r="D3" s="448">
        <v>0.75</v>
      </c>
      <c r="E3" s="448">
        <v>0.67</v>
      </c>
      <c r="F3" s="448">
        <v>0.5</v>
      </c>
      <c r="G3" s="448">
        <v>0.25</v>
      </c>
      <c r="H3" s="140">
        <v>0</v>
      </c>
    </row>
    <row r="4" spans="1:10" x14ac:dyDescent="0.25">
      <c r="A4" s="946" t="s">
        <v>1090</v>
      </c>
      <c r="B4" s="3" t="s">
        <v>1091</v>
      </c>
      <c r="C4" t="s">
        <v>1092</v>
      </c>
      <c r="J4" s="240"/>
    </row>
    <row r="5" spans="1:10" x14ac:dyDescent="0.25">
      <c r="A5" s="1129" t="s">
        <v>1093</v>
      </c>
      <c r="B5" s="449" t="s">
        <v>1094</v>
      </c>
      <c r="C5" s="450">
        <v>0.1</v>
      </c>
      <c r="D5" s="450">
        <v>0.25</v>
      </c>
      <c r="E5" s="450">
        <v>0.33</v>
      </c>
      <c r="F5" s="450">
        <v>0.5</v>
      </c>
      <c r="G5" s="450">
        <v>0.75</v>
      </c>
      <c r="H5" s="450">
        <v>1</v>
      </c>
    </row>
    <row r="6" spans="1:10" x14ac:dyDescent="0.25">
      <c r="A6" s="885">
        <v>2019</v>
      </c>
      <c r="B6" s="2">
        <v>155922</v>
      </c>
      <c r="C6" s="184">
        <f>ROUND(((+B6*0.485)*$C$5),0)</f>
        <v>7562</v>
      </c>
      <c r="D6" s="2">
        <f>ROUND(((+B6*0.485)*$D$5),0)</f>
        <v>18906</v>
      </c>
      <c r="E6" s="2">
        <f>ROUND(((+B6*0.485)*$E$5),0)</f>
        <v>24955</v>
      </c>
      <c r="F6" s="2">
        <f>ROUND(((+B6*0.485)*$F$5),0)</f>
        <v>37811</v>
      </c>
      <c r="G6" s="2">
        <f>ROUND(((+B6*0.485)*$G$5),0)</f>
        <v>56717</v>
      </c>
      <c r="H6" s="2">
        <f>ROUND(((+B6*0.485)*$H$5),0)</f>
        <v>75622</v>
      </c>
    </row>
    <row r="7" spans="1:10" x14ac:dyDescent="0.25">
      <c r="A7" s="885">
        <v>2020</v>
      </c>
      <c r="B7" s="2">
        <v>158729</v>
      </c>
      <c r="C7" s="180">
        <f t="shared" ref="C7:C30" si="0">ROUND(((+B7*0.485)*$C$5),0)</f>
        <v>7698</v>
      </c>
      <c r="D7" s="2">
        <f t="shared" ref="D7:D30" si="1">ROUND(((+B7*0.485)*$D$5),0)</f>
        <v>19246</v>
      </c>
      <c r="E7" s="2">
        <f t="shared" ref="E7:E30" si="2">ROUND(((+B7*0.485)*$E$5),0)</f>
        <v>25405</v>
      </c>
      <c r="F7" s="2">
        <f t="shared" ref="F7:F30" si="3">ROUND(((+B7*0.485)*$F$5),0)</f>
        <v>38492</v>
      </c>
      <c r="G7" s="2">
        <f t="shared" ref="G7:G30" si="4">ROUND(((+B7*0.485)*$G$5),0)</f>
        <v>57738</v>
      </c>
      <c r="H7" s="2">
        <f t="shared" ref="H7:H30" si="5">ROUND(((+B7*0.485)*$H$5),0)</f>
        <v>76984</v>
      </c>
    </row>
    <row r="8" spans="1:10" x14ac:dyDescent="0.25">
      <c r="A8" s="885">
        <v>2021</v>
      </c>
      <c r="B8" s="2">
        <v>161586</v>
      </c>
      <c r="C8" s="180">
        <f t="shared" si="0"/>
        <v>7837</v>
      </c>
      <c r="D8" s="2">
        <f t="shared" si="1"/>
        <v>19592</v>
      </c>
      <c r="E8" s="2">
        <f t="shared" si="2"/>
        <v>25862</v>
      </c>
      <c r="F8" s="2">
        <f t="shared" si="3"/>
        <v>39185</v>
      </c>
      <c r="G8" s="2">
        <f t="shared" si="4"/>
        <v>58777</v>
      </c>
      <c r="H8" s="2">
        <f t="shared" si="5"/>
        <v>78369</v>
      </c>
    </row>
    <row r="9" spans="1:10" x14ac:dyDescent="0.25">
      <c r="A9" s="885">
        <v>2022</v>
      </c>
      <c r="B9" s="2">
        <v>164494</v>
      </c>
      <c r="C9" s="180">
        <f t="shared" si="0"/>
        <v>7978</v>
      </c>
      <c r="D9" s="2">
        <f t="shared" si="1"/>
        <v>19945</v>
      </c>
      <c r="E9" s="2">
        <f t="shared" si="2"/>
        <v>26327</v>
      </c>
      <c r="F9" s="2">
        <f t="shared" si="3"/>
        <v>39890</v>
      </c>
      <c r="G9" s="2">
        <f t="shared" si="4"/>
        <v>59835</v>
      </c>
      <c r="H9" s="2">
        <f t="shared" si="5"/>
        <v>79780</v>
      </c>
    </row>
    <row r="10" spans="1:10" x14ac:dyDescent="0.25">
      <c r="A10" s="885">
        <v>2023</v>
      </c>
      <c r="B10" s="2">
        <v>167455</v>
      </c>
      <c r="C10" s="180">
        <f t="shared" si="0"/>
        <v>8122</v>
      </c>
      <c r="D10" s="2">
        <f t="shared" si="1"/>
        <v>20304</v>
      </c>
      <c r="E10" s="2">
        <f t="shared" si="2"/>
        <v>26801</v>
      </c>
      <c r="F10" s="2">
        <f t="shared" si="3"/>
        <v>40608</v>
      </c>
      <c r="G10" s="2">
        <f t="shared" si="4"/>
        <v>60912</v>
      </c>
      <c r="H10" s="2">
        <f t="shared" si="5"/>
        <v>81216</v>
      </c>
    </row>
    <row r="11" spans="1:10" x14ac:dyDescent="0.25">
      <c r="A11" s="885">
        <v>2024</v>
      </c>
      <c r="B11" s="2">
        <v>170469</v>
      </c>
      <c r="C11" s="180">
        <f t="shared" si="0"/>
        <v>8268</v>
      </c>
      <c r="D11" s="2">
        <f t="shared" si="1"/>
        <v>20669</v>
      </c>
      <c r="E11" s="2">
        <f t="shared" si="2"/>
        <v>27284</v>
      </c>
      <c r="F11" s="2">
        <f t="shared" si="3"/>
        <v>41339</v>
      </c>
      <c r="G11" s="2">
        <f t="shared" si="4"/>
        <v>62008</v>
      </c>
      <c r="H11" s="2">
        <f t="shared" si="5"/>
        <v>82677</v>
      </c>
    </row>
    <row r="12" spans="1:10" x14ac:dyDescent="0.25">
      <c r="A12" s="885">
        <v>2025</v>
      </c>
      <c r="B12" s="2">
        <v>173538</v>
      </c>
      <c r="C12" s="180">
        <f t="shared" si="0"/>
        <v>8417</v>
      </c>
      <c r="D12" s="2">
        <f t="shared" si="1"/>
        <v>21041</v>
      </c>
      <c r="E12" s="2">
        <f t="shared" si="2"/>
        <v>27775</v>
      </c>
      <c r="F12" s="2">
        <f t="shared" si="3"/>
        <v>42083</v>
      </c>
      <c r="G12" s="2">
        <f t="shared" si="4"/>
        <v>63124</v>
      </c>
      <c r="H12" s="2">
        <f t="shared" si="5"/>
        <v>84166</v>
      </c>
    </row>
    <row r="13" spans="1:10" x14ac:dyDescent="0.25">
      <c r="A13" s="885">
        <v>2026</v>
      </c>
      <c r="B13" s="2">
        <v>176661</v>
      </c>
      <c r="C13" s="180">
        <f t="shared" si="0"/>
        <v>8568</v>
      </c>
      <c r="D13" s="2">
        <f t="shared" si="1"/>
        <v>21420</v>
      </c>
      <c r="E13" s="2">
        <f t="shared" si="2"/>
        <v>28275</v>
      </c>
      <c r="F13" s="2">
        <f t="shared" si="3"/>
        <v>42840</v>
      </c>
      <c r="G13" s="2">
        <f t="shared" si="4"/>
        <v>64260</v>
      </c>
      <c r="H13" s="2">
        <f t="shared" si="5"/>
        <v>85681</v>
      </c>
    </row>
    <row r="14" spans="1:10" x14ac:dyDescent="0.25">
      <c r="A14" s="885">
        <v>2027</v>
      </c>
      <c r="B14" s="2">
        <v>179841</v>
      </c>
      <c r="C14" s="180">
        <f t="shared" si="0"/>
        <v>8722</v>
      </c>
      <c r="D14" s="2">
        <f t="shared" si="1"/>
        <v>21806</v>
      </c>
      <c r="E14" s="2">
        <f t="shared" si="2"/>
        <v>28784</v>
      </c>
      <c r="F14" s="2">
        <f t="shared" si="3"/>
        <v>43611</v>
      </c>
      <c r="G14" s="2">
        <f t="shared" si="4"/>
        <v>65417</v>
      </c>
      <c r="H14" s="2">
        <f t="shared" si="5"/>
        <v>87223</v>
      </c>
    </row>
    <row r="15" spans="1:10" x14ac:dyDescent="0.25">
      <c r="A15" s="885">
        <v>2028</v>
      </c>
      <c r="B15" s="2">
        <v>183079</v>
      </c>
      <c r="C15" s="180">
        <f t="shared" si="0"/>
        <v>8879</v>
      </c>
      <c r="D15" s="2">
        <f t="shared" si="1"/>
        <v>22198</v>
      </c>
      <c r="E15" s="2">
        <f t="shared" si="2"/>
        <v>29302</v>
      </c>
      <c r="F15" s="2">
        <f t="shared" si="3"/>
        <v>44397</v>
      </c>
      <c r="G15" s="2">
        <f t="shared" si="4"/>
        <v>66595</v>
      </c>
      <c r="H15" s="2">
        <f t="shared" si="5"/>
        <v>88793</v>
      </c>
    </row>
    <row r="16" spans="1:10" x14ac:dyDescent="0.25">
      <c r="A16" s="885">
        <v>2029</v>
      </c>
      <c r="B16" s="2">
        <v>186374</v>
      </c>
      <c r="C16" s="180">
        <f t="shared" si="0"/>
        <v>9039</v>
      </c>
      <c r="D16" s="2">
        <f t="shared" si="1"/>
        <v>22598</v>
      </c>
      <c r="E16" s="2">
        <f t="shared" si="2"/>
        <v>29829</v>
      </c>
      <c r="F16" s="2">
        <f t="shared" si="3"/>
        <v>45196</v>
      </c>
      <c r="G16" s="2">
        <f t="shared" si="4"/>
        <v>67794</v>
      </c>
      <c r="H16" s="2">
        <f t="shared" si="5"/>
        <v>90391</v>
      </c>
    </row>
    <row r="17" spans="1:8" x14ac:dyDescent="0.25">
      <c r="A17" s="885">
        <v>2030</v>
      </c>
      <c r="B17" s="2">
        <v>189729</v>
      </c>
      <c r="C17" s="180">
        <f t="shared" si="0"/>
        <v>9202</v>
      </c>
      <c r="D17" s="2">
        <f t="shared" si="1"/>
        <v>23005</v>
      </c>
      <c r="E17" s="2">
        <f t="shared" si="2"/>
        <v>30366</v>
      </c>
      <c r="F17" s="2">
        <f t="shared" si="3"/>
        <v>46009</v>
      </c>
      <c r="G17" s="2">
        <f t="shared" si="4"/>
        <v>69014</v>
      </c>
      <c r="H17" s="2">
        <f t="shared" si="5"/>
        <v>92019</v>
      </c>
    </row>
    <row r="18" spans="1:8" x14ac:dyDescent="0.25">
      <c r="A18" s="885">
        <v>2031</v>
      </c>
      <c r="B18" s="2">
        <v>193144</v>
      </c>
      <c r="C18" s="180">
        <f t="shared" si="0"/>
        <v>9367</v>
      </c>
      <c r="D18" s="2">
        <f t="shared" si="1"/>
        <v>23419</v>
      </c>
      <c r="E18" s="2">
        <f t="shared" si="2"/>
        <v>30913</v>
      </c>
      <c r="F18" s="2">
        <f t="shared" si="3"/>
        <v>46837</v>
      </c>
      <c r="G18" s="2">
        <f t="shared" si="4"/>
        <v>70256</v>
      </c>
      <c r="H18" s="2">
        <f t="shared" si="5"/>
        <v>93675</v>
      </c>
    </row>
    <row r="19" spans="1:8" x14ac:dyDescent="0.25">
      <c r="A19" s="885">
        <v>2032</v>
      </c>
      <c r="B19" s="2">
        <v>196620</v>
      </c>
      <c r="C19" s="180">
        <f t="shared" si="0"/>
        <v>9536</v>
      </c>
      <c r="D19" s="2">
        <f t="shared" si="1"/>
        <v>23840</v>
      </c>
      <c r="E19" s="2">
        <f t="shared" si="2"/>
        <v>31469</v>
      </c>
      <c r="F19" s="2">
        <f t="shared" si="3"/>
        <v>47680</v>
      </c>
      <c r="G19" s="2">
        <f t="shared" si="4"/>
        <v>71521</v>
      </c>
      <c r="H19" s="2">
        <f t="shared" si="5"/>
        <v>95361</v>
      </c>
    </row>
    <row r="20" spans="1:8" x14ac:dyDescent="0.25">
      <c r="A20" s="885">
        <v>2033</v>
      </c>
      <c r="B20" s="2">
        <v>200160</v>
      </c>
      <c r="C20" s="180">
        <f t="shared" si="0"/>
        <v>9708</v>
      </c>
      <c r="D20" s="2">
        <f t="shared" si="1"/>
        <v>24269</v>
      </c>
      <c r="E20" s="2">
        <f t="shared" si="2"/>
        <v>32036</v>
      </c>
      <c r="F20" s="2">
        <f t="shared" si="3"/>
        <v>48539</v>
      </c>
      <c r="G20" s="2">
        <f t="shared" si="4"/>
        <v>72808</v>
      </c>
      <c r="H20" s="2">
        <f t="shared" si="5"/>
        <v>97078</v>
      </c>
    </row>
    <row r="21" spans="1:8" x14ac:dyDescent="0.25">
      <c r="A21" s="885">
        <v>2034</v>
      </c>
      <c r="B21" s="2">
        <v>203762</v>
      </c>
      <c r="C21" s="180">
        <f t="shared" si="0"/>
        <v>9882</v>
      </c>
      <c r="D21" s="2">
        <f t="shared" si="1"/>
        <v>24706</v>
      </c>
      <c r="E21" s="2">
        <f t="shared" si="2"/>
        <v>32612</v>
      </c>
      <c r="F21" s="2">
        <f t="shared" si="3"/>
        <v>49412</v>
      </c>
      <c r="G21" s="2">
        <f t="shared" si="4"/>
        <v>74118</v>
      </c>
      <c r="H21" s="2">
        <f t="shared" si="5"/>
        <v>98825</v>
      </c>
    </row>
    <row r="22" spans="1:8" x14ac:dyDescent="0.25">
      <c r="A22" s="885">
        <v>2035</v>
      </c>
      <c r="B22" s="2">
        <v>207430</v>
      </c>
      <c r="C22" s="180">
        <f t="shared" si="0"/>
        <v>10060</v>
      </c>
      <c r="D22" s="2">
        <f t="shared" si="1"/>
        <v>25151</v>
      </c>
      <c r="E22" s="2">
        <f t="shared" si="2"/>
        <v>33199</v>
      </c>
      <c r="F22" s="2">
        <f t="shared" si="3"/>
        <v>50302</v>
      </c>
      <c r="G22" s="2">
        <f t="shared" si="4"/>
        <v>75453</v>
      </c>
      <c r="H22" s="2">
        <f t="shared" si="5"/>
        <v>100604</v>
      </c>
    </row>
    <row r="23" spans="1:8" x14ac:dyDescent="0.25">
      <c r="A23" s="885">
        <v>2036</v>
      </c>
      <c r="B23" s="2">
        <v>211164</v>
      </c>
      <c r="C23" s="180">
        <f t="shared" si="0"/>
        <v>10241</v>
      </c>
      <c r="D23" s="2">
        <f t="shared" si="1"/>
        <v>25604</v>
      </c>
      <c r="E23" s="2">
        <f t="shared" si="2"/>
        <v>33797</v>
      </c>
      <c r="F23" s="2">
        <f t="shared" si="3"/>
        <v>51207</v>
      </c>
      <c r="G23" s="2">
        <f t="shared" si="4"/>
        <v>76811</v>
      </c>
      <c r="H23" s="2">
        <f t="shared" si="5"/>
        <v>102415</v>
      </c>
    </row>
    <row r="24" spans="1:8" x14ac:dyDescent="0.25">
      <c r="A24" s="885">
        <v>2037</v>
      </c>
      <c r="B24" s="2">
        <v>214965</v>
      </c>
      <c r="C24" s="180">
        <f t="shared" si="0"/>
        <v>10426</v>
      </c>
      <c r="D24" s="2">
        <f t="shared" si="1"/>
        <v>26065</v>
      </c>
      <c r="E24" s="2">
        <f t="shared" si="2"/>
        <v>34405</v>
      </c>
      <c r="F24" s="2">
        <f t="shared" si="3"/>
        <v>52129</v>
      </c>
      <c r="G24" s="2">
        <f t="shared" si="4"/>
        <v>78194</v>
      </c>
      <c r="H24" s="2">
        <f t="shared" si="5"/>
        <v>104258</v>
      </c>
    </row>
    <row r="25" spans="1:8" x14ac:dyDescent="0.25">
      <c r="A25" s="885">
        <v>2038</v>
      </c>
      <c r="B25" s="2">
        <v>218834</v>
      </c>
      <c r="C25" s="180">
        <f t="shared" si="0"/>
        <v>10613</v>
      </c>
      <c r="D25" s="2">
        <f t="shared" si="1"/>
        <v>26534</v>
      </c>
      <c r="E25" s="2">
        <f t="shared" si="2"/>
        <v>35024</v>
      </c>
      <c r="F25" s="2">
        <f t="shared" si="3"/>
        <v>53067</v>
      </c>
      <c r="G25" s="2">
        <f t="shared" si="4"/>
        <v>79601</v>
      </c>
      <c r="H25" s="2">
        <f t="shared" si="5"/>
        <v>106134</v>
      </c>
    </row>
    <row r="26" spans="1:8" x14ac:dyDescent="0.25">
      <c r="A26" s="885">
        <v>2039</v>
      </c>
      <c r="B26" s="2">
        <v>222773</v>
      </c>
      <c r="C26" s="180">
        <f t="shared" si="0"/>
        <v>10804</v>
      </c>
      <c r="D26" s="2">
        <f t="shared" si="1"/>
        <v>27011</v>
      </c>
      <c r="E26" s="2">
        <f t="shared" si="2"/>
        <v>35655</v>
      </c>
      <c r="F26" s="2">
        <f t="shared" si="3"/>
        <v>54022</v>
      </c>
      <c r="G26" s="2">
        <f t="shared" si="4"/>
        <v>81034</v>
      </c>
      <c r="H26" s="2">
        <f t="shared" si="5"/>
        <v>108045</v>
      </c>
    </row>
    <row r="27" spans="1:8" x14ac:dyDescent="0.25">
      <c r="A27" s="885">
        <v>2040</v>
      </c>
      <c r="B27" s="2">
        <v>226783</v>
      </c>
      <c r="C27" s="180">
        <f t="shared" si="0"/>
        <v>10999</v>
      </c>
      <c r="D27" s="2">
        <f t="shared" si="1"/>
        <v>27497</v>
      </c>
      <c r="E27" s="2">
        <f t="shared" si="2"/>
        <v>36297</v>
      </c>
      <c r="F27" s="2">
        <f t="shared" si="3"/>
        <v>54995</v>
      </c>
      <c r="G27" s="2">
        <f t="shared" si="4"/>
        <v>82492</v>
      </c>
      <c r="H27" s="2">
        <f t="shared" si="5"/>
        <v>109990</v>
      </c>
    </row>
    <row r="28" spans="1:8" x14ac:dyDescent="0.25">
      <c r="A28" s="885">
        <v>2041</v>
      </c>
      <c r="B28" s="2">
        <v>230865</v>
      </c>
      <c r="C28" s="180">
        <f t="shared" si="0"/>
        <v>11197</v>
      </c>
      <c r="D28" s="2">
        <f t="shared" si="1"/>
        <v>27992</v>
      </c>
      <c r="E28" s="2">
        <f t="shared" si="2"/>
        <v>36950</v>
      </c>
      <c r="F28" s="2">
        <f t="shared" si="3"/>
        <v>55985</v>
      </c>
      <c r="G28" s="2">
        <f t="shared" si="4"/>
        <v>83977</v>
      </c>
      <c r="H28" s="2">
        <f t="shared" si="5"/>
        <v>111970</v>
      </c>
    </row>
    <row r="29" spans="1:8" x14ac:dyDescent="0.25">
      <c r="A29" s="885">
        <v>2042</v>
      </c>
      <c r="B29" s="2">
        <v>235021</v>
      </c>
      <c r="C29" s="180">
        <f t="shared" si="0"/>
        <v>11399</v>
      </c>
      <c r="D29" s="2">
        <f t="shared" si="1"/>
        <v>28496</v>
      </c>
      <c r="E29" s="2">
        <f t="shared" si="2"/>
        <v>37615</v>
      </c>
      <c r="F29" s="2">
        <f t="shared" si="3"/>
        <v>56993</v>
      </c>
      <c r="G29" s="2">
        <f t="shared" si="4"/>
        <v>85489</v>
      </c>
      <c r="H29" s="2">
        <f t="shared" si="5"/>
        <v>113985</v>
      </c>
    </row>
    <row r="30" spans="1:8" x14ac:dyDescent="0.25">
      <c r="A30" s="885">
        <v>2043</v>
      </c>
      <c r="B30" s="56">
        <v>239251</v>
      </c>
      <c r="C30" s="180">
        <f t="shared" si="0"/>
        <v>11604</v>
      </c>
      <c r="D30" s="2">
        <f t="shared" si="1"/>
        <v>29009</v>
      </c>
      <c r="E30" s="2">
        <f t="shared" si="2"/>
        <v>38292</v>
      </c>
      <c r="F30" s="2">
        <f t="shared" si="3"/>
        <v>58018</v>
      </c>
      <c r="G30" s="2">
        <f t="shared" si="4"/>
        <v>87028</v>
      </c>
      <c r="H30" s="2">
        <f t="shared" si="5"/>
        <v>116037</v>
      </c>
    </row>
    <row r="31" spans="1:8" x14ac:dyDescent="0.25">
      <c r="B31" s="2">
        <f>SUM(B6:B30)</f>
        <v>4868649</v>
      </c>
    </row>
    <row r="34" spans="1:8" x14ac:dyDescent="0.25">
      <c r="B34" s="240" t="s">
        <v>1097</v>
      </c>
      <c r="G34" s="240"/>
      <c r="H34" s="240"/>
    </row>
    <row r="35" spans="1:8" x14ac:dyDescent="0.25">
      <c r="A35" s="929" t="s">
        <v>1099</v>
      </c>
      <c r="B35" s="2">
        <v>9356560</v>
      </c>
      <c r="G35" s="240"/>
      <c r="H35" s="240"/>
    </row>
    <row r="36" spans="1:8" x14ac:dyDescent="0.25">
      <c r="A36" s="929" t="s">
        <v>1091</v>
      </c>
      <c r="B36" s="2"/>
      <c r="G36" s="240"/>
      <c r="H36" s="240"/>
    </row>
    <row r="37" spans="1:8" x14ac:dyDescent="0.25">
      <c r="A37" s="929" t="s">
        <v>1096</v>
      </c>
      <c r="B37" s="240" t="s">
        <v>1111</v>
      </c>
      <c r="C37" s="240" t="s">
        <v>564</v>
      </c>
      <c r="D37" s="240" t="s">
        <v>1095</v>
      </c>
      <c r="G37" s="240"/>
      <c r="H37" s="240"/>
    </row>
    <row r="38" spans="1:8" x14ac:dyDescent="0.25">
      <c r="A38" s="929">
        <v>0</v>
      </c>
      <c r="B38" s="2">
        <v>9650455</v>
      </c>
      <c r="C38" s="2">
        <f>+B38-$B$35</f>
        <v>293895</v>
      </c>
      <c r="D38" s="139">
        <f>ROUND((+C38/$B$35),4)</f>
        <v>3.1399999999999997E-2</v>
      </c>
      <c r="G38" s="346"/>
      <c r="H38" s="2"/>
    </row>
    <row r="39" spans="1:8" x14ac:dyDescent="0.25">
      <c r="A39" s="929">
        <f>+C5</f>
        <v>0.1</v>
      </c>
      <c r="B39" s="2">
        <f>+B38+C6</f>
        <v>9658017</v>
      </c>
      <c r="C39" s="2">
        <f t="shared" ref="C39:C44" si="6">+B39-$B$35</f>
        <v>301457</v>
      </c>
      <c r="D39" s="139">
        <f t="shared" ref="D39:D44" si="7">ROUND((+C39/$B$35),4)</f>
        <v>3.2199999999999999E-2</v>
      </c>
      <c r="G39" s="2"/>
      <c r="H39" s="2"/>
    </row>
    <row r="40" spans="1:8" x14ac:dyDescent="0.25">
      <c r="A40" s="929">
        <f>+D5</f>
        <v>0.25</v>
      </c>
      <c r="B40" s="2">
        <f>+B38+D6</f>
        <v>9669361</v>
      </c>
      <c r="C40" s="2">
        <f t="shared" si="6"/>
        <v>312801</v>
      </c>
      <c r="D40" s="139">
        <f t="shared" si="7"/>
        <v>3.3399999999999999E-2</v>
      </c>
      <c r="G40" s="2"/>
      <c r="H40" s="2"/>
    </row>
    <row r="41" spans="1:8" x14ac:dyDescent="0.25">
      <c r="A41" s="929">
        <f>+E5</f>
        <v>0.33</v>
      </c>
      <c r="B41" s="2">
        <f>+B38+E6</f>
        <v>9675410</v>
      </c>
      <c r="C41" s="2">
        <f t="shared" si="6"/>
        <v>318850</v>
      </c>
      <c r="D41" s="139">
        <f t="shared" si="7"/>
        <v>3.4099999999999998E-2</v>
      </c>
      <c r="G41" s="2"/>
      <c r="H41" s="2"/>
    </row>
    <row r="42" spans="1:8" x14ac:dyDescent="0.25">
      <c r="A42" s="929">
        <f>+F5</f>
        <v>0.5</v>
      </c>
      <c r="B42" s="2">
        <f>+B38+F6</f>
        <v>9688266</v>
      </c>
      <c r="C42" s="2">
        <f t="shared" si="6"/>
        <v>331706</v>
      </c>
      <c r="D42" s="139">
        <f t="shared" si="7"/>
        <v>3.5499999999999997E-2</v>
      </c>
      <c r="G42" s="2"/>
      <c r="H42" s="2"/>
    </row>
    <row r="43" spans="1:8" x14ac:dyDescent="0.25">
      <c r="A43" s="929">
        <f>+G5</f>
        <v>0.75</v>
      </c>
      <c r="B43" s="2">
        <f>+B38+G6</f>
        <v>9707172</v>
      </c>
      <c r="C43" s="2">
        <f t="shared" si="6"/>
        <v>350612</v>
      </c>
      <c r="D43" s="139">
        <f t="shared" si="7"/>
        <v>3.7499999999999999E-2</v>
      </c>
      <c r="H43" s="2"/>
    </row>
    <row r="44" spans="1:8" x14ac:dyDescent="0.25">
      <c r="A44" s="929">
        <f>+H5</f>
        <v>1</v>
      </c>
      <c r="B44" s="2">
        <f>+B38+H6</f>
        <v>9726077</v>
      </c>
      <c r="C44" s="2">
        <f t="shared" si="6"/>
        <v>369517</v>
      </c>
      <c r="D44" s="139">
        <f t="shared" si="7"/>
        <v>3.95E-2</v>
      </c>
    </row>
    <row r="47" spans="1:8" x14ac:dyDescent="0.25">
      <c r="A47" s="929" t="s">
        <v>1098</v>
      </c>
      <c r="E47" s="240" t="s">
        <v>1101</v>
      </c>
    </row>
    <row r="48" spans="1:8" x14ac:dyDescent="0.25">
      <c r="A48" s="929" t="s">
        <v>347</v>
      </c>
      <c r="B48" s="451">
        <v>7850604</v>
      </c>
    </row>
    <row r="49" spans="1:6" x14ac:dyDescent="0.25">
      <c r="A49" s="929" t="s">
        <v>722</v>
      </c>
      <c r="B49" s="451">
        <v>7965557</v>
      </c>
      <c r="C49" s="451">
        <f>+B49-B48</f>
        <v>114953</v>
      </c>
      <c r="D49" s="139">
        <f>ROUND((+C49/B48),4)</f>
        <v>1.46E-2</v>
      </c>
    </row>
    <row r="50" spans="1:6" x14ac:dyDescent="0.25">
      <c r="A50" s="929" t="s">
        <v>737</v>
      </c>
      <c r="B50" s="451">
        <v>8293458</v>
      </c>
      <c r="C50" s="451">
        <f>+B50-B49</f>
        <v>327901</v>
      </c>
      <c r="D50" s="139">
        <f>ROUND((+C50/B49),4)</f>
        <v>4.1200000000000001E-2</v>
      </c>
    </row>
    <row r="51" spans="1:6" x14ac:dyDescent="0.25">
      <c r="A51" s="929" t="s">
        <v>800</v>
      </c>
      <c r="B51" s="451">
        <v>8498343</v>
      </c>
      <c r="C51" s="451">
        <f>+B51-B50</f>
        <v>204885</v>
      </c>
      <c r="D51" s="139">
        <f>ROUND((+C51/B50),4)</f>
        <v>2.47E-2</v>
      </c>
    </row>
    <row r="52" spans="1:6" x14ac:dyDescent="0.25">
      <c r="A52" s="929" t="s">
        <v>890</v>
      </c>
      <c r="B52" s="451">
        <v>8852114</v>
      </c>
      <c r="C52" s="451">
        <f>+B52-B51</f>
        <v>353771</v>
      </c>
      <c r="D52" s="139">
        <f>ROUND((+C52/B51),4)</f>
        <v>4.1599999999999998E-2</v>
      </c>
    </row>
    <row r="53" spans="1:6" x14ac:dyDescent="0.25">
      <c r="A53" s="929" t="s">
        <v>1018</v>
      </c>
      <c r="B53" s="451">
        <v>9356560</v>
      </c>
      <c r="C53" s="451">
        <f>+B53-B52</f>
        <v>504446</v>
      </c>
      <c r="D53" s="139">
        <f>ROUND((+C53/B52),4)</f>
        <v>5.7000000000000002E-2</v>
      </c>
      <c r="E53" s="451">
        <f>+B53-B48</f>
        <v>1505956</v>
      </c>
      <c r="F53" s="139">
        <f>ROUND((+E53/B48),4)</f>
        <v>0.1918</v>
      </c>
    </row>
    <row r="56" spans="1:6" x14ac:dyDescent="0.25">
      <c r="A56" s="929" t="s">
        <v>1100</v>
      </c>
    </row>
    <row r="57" spans="1:6" x14ac:dyDescent="0.25">
      <c r="A57" s="929" t="s">
        <v>347</v>
      </c>
      <c r="B57" s="451">
        <v>7488710</v>
      </c>
    </row>
    <row r="58" spans="1:6" x14ac:dyDescent="0.25">
      <c r="A58" s="929" t="s">
        <v>722</v>
      </c>
      <c r="B58" s="451">
        <v>7965557</v>
      </c>
      <c r="C58" s="451">
        <f>+B58-B57</f>
        <v>476847</v>
      </c>
      <c r="D58" s="139">
        <f>ROUND((+C58/B57),4)</f>
        <v>6.3700000000000007E-2</v>
      </c>
    </row>
    <row r="59" spans="1:6" x14ac:dyDescent="0.25">
      <c r="A59" s="929" t="s">
        <v>737</v>
      </c>
      <c r="B59" s="451">
        <v>8136058</v>
      </c>
      <c r="C59" s="451">
        <f>+B59-B58</f>
        <v>170501</v>
      </c>
      <c r="D59" s="139">
        <f>ROUND((+C59/B58),4)</f>
        <v>2.1399999999999999E-2</v>
      </c>
    </row>
    <row r="60" spans="1:6" x14ac:dyDescent="0.25">
      <c r="A60" s="929" t="s">
        <v>800</v>
      </c>
      <c r="B60" s="451">
        <v>8373806</v>
      </c>
      <c r="C60" s="451">
        <f>+B60-B59</f>
        <v>237748</v>
      </c>
      <c r="D60" s="139">
        <f>ROUND((+C60/B59),4)</f>
        <v>2.92E-2</v>
      </c>
    </row>
    <row r="61" spans="1:6" x14ac:dyDescent="0.25">
      <c r="A61" s="929" t="s">
        <v>890</v>
      </c>
      <c r="B61" s="451">
        <v>8725506</v>
      </c>
      <c r="C61" s="451">
        <f>+B61-B60</f>
        <v>351700</v>
      </c>
      <c r="D61" s="139">
        <f>ROUND((+C61/B60),4)</f>
        <v>4.2000000000000003E-2</v>
      </c>
    </row>
    <row r="62" spans="1:6" x14ac:dyDescent="0.25">
      <c r="A62" s="929" t="s">
        <v>1018</v>
      </c>
      <c r="B62" s="451">
        <v>8993941</v>
      </c>
      <c r="C62" s="451">
        <f>+B62-B61</f>
        <v>268435</v>
      </c>
      <c r="D62" s="139">
        <f>ROUND((+C62/B61),4)</f>
        <v>3.0800000000000001E-2</v>
      </c>
      <c r="E62" s="451">
        <f>+B62-B57</f>
        <v>1505231</v>
      </c>
      <c r="F62" s="139">
        <f>ROUND((+E62/B57),4)</f>
        <v>0.20100000000000001</v>
      </c>
    </row>
  </sheetData>
  <hyperlinks>
    <hyperlink ref="H1" location="'Table of Contents'!A1" display="TOC" xr:uid="{00000000-0004-0000-4600-000000000000}"/>
  </hyperlinks>
  <pageMargins left="0.7" right="0.7" top="0.75" bottom="0.75" header="0.3" footer="0.3"/>
  <pageSetup orientation="portrait" r:id="rId1"/>
  <headerFooter>
    <oddFooter>&amp;L&amp;D &amp;T&amp;C&amp;F&amp;R&amp;A&amp;P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rgb="FFFFC000"/>
  </sheetPr>
  <dimension ref="A1:K125"/>
  <sheetViews>
    <sheetView workbookViewId="0">
      <selection activeCell="B125" sqref="B125"/>
    </sheetView>
  </sheetViews>
  <sheetFormatPr defaultRowHeight="13.2" x14ac:dyDescent="0.25"/>
  <cols>
    <col min="1" max="1" width="3.77734375" style="4" customWidth="1"/>
    <col min="2" max="2" width="34.44140625" style="4" customWidth="1"/>
    <col min="3" max="3" width="6.109375" style="876" customWidth="1"/>
    <col min="4" max="4" width="15.109375" style="4" bestFit="1" customWidth="1"/>
    <col min="5" max="5" width="14.6640625" style="4" customWidth="1"/>
    <col min="6" max="6" width="4.6640625" style="4" customWidth="1"/>
    <col min="7" max="7" width="30.6640625" customWidth="1"/>
    <col min="8" max="8" width="6.33203125" style="885" customWidth="1"/>
    <col min="9" max="9" width="14.33203125" customWidth="1"/>
    <col min="10" max="10" width="13.77734375" customWidth="1"/>
  </cols>
  <sheetData>
    <row r="1" spans="1:9" x14ac:dyDescent="0.25">
      <c r="A1" s="1161" t="s">
        <v>985</v>
      </c>
      <c r="B1" s="1161"/>
      <c r="C1" s="1161"/>
      <c r="D1" s="1161"/>
      <c r="E1" s="1161"/>
      <c r="F1" s="1161"/>
    </row>
    <row r="3" spans="1:9" ht="13.8" x14ac:dyDescent="0.25">
      <c r="D3" s="675" t="s">
        <v>910</v>
      </c>
      <c r="G3" s="242"/>
      <c r="H3" s="889"/>
      <c r="I3" s="243"/>
    </row>
    <row r="4" spans="1:9" ht="13.8" x14ac:dyDescent="0.25">
      <c r="B4" s="676" t="s">
        <v>620</v>
      </c>
      <c r="C4" s="982" t="s">
        <v>944</v>
      </c>
      <c r="D4" s="677" t="s">
        <v>660</v>
      </c>
      <c r="G4" s="244"/>
      <c r="H4" s="985"/>
      <c r="I4" s="245"/>
    </row>
    <row r="5" spans="1:9" x14ac:dyDescent="0.25">
      <c r="A5" s="78" t="s">
        <v>1306</v>
      </c>
      <c r="B5" s="78"/>
      <c r="C5" s="983"/>
    </row>
    <row r="6" spans="1:9" x14ac:dyDescent="0.25">
      <c r="B6" s="4" t="s">
        <v>383</v>
      </c>
      <c r="C6" s="983">
        <v>11</v>
      </c>
      <c r="D6" s="167">
        <f>+'122 Selectboard'!N42</f>
        <v>117673</v>
      </c>
    </row>
    <row r="7" spans="1:9" x14ac:dyDescent="0.25">
      <c r="B7" s="4" t="s">
        <v>1937</v>
      </c>
      <c r="C7" s="983">
        <v>2</v>
      </c>
      <c r="D7" s="167">
        <v>86924</v>
      </c>
    </row>
    <row r="8" spans="1:9" x14ac:dyDescent="0.25">
      <c r="B8" s="4" t="s">
        <v>961</v>
      </c>
      <c r="C8" s="983">
        <v>11</v>
      </c>
      <c r="D8" s="167">
        <f>+'122 Selectboard'!N44</f>
        <v>51760.800000000003</v>
      </c>
    </row>
    <row r="9" spans="1:9" x14ac:dyDescent="0.25">
      <c r="B9" s="4" t="s">
        <v>1938</v>
      </c>
      <c r="C9" s="983">
        <v>2</v>
      </c>
      <c r="D9" s="167">
        <f>+'122 Selectboard'!N45</f>
        <v>23829.3</v>
      </c>
    </row>
    <row r="11" spans="1:9" x14ac:dyDescent="0.25">
      <c r="A11" s="78" t="s">
        <v>384</v>
      </c>
    </row>
    <row r="12" spans="1:9" x14ac:dyDescent="0.25">
      <c r="B12" s="4" t="s">
        <v>384</v>
      </c>
      <c r="C12" s="983">
        <v>11</v>
      </c>
      <c r="D12" s="167">
        <f>+'135 Acct'!N32</f>
        <v>76139</v>
      </c>
    </row>
    <row r="14" spans="1:9" x14ac:dyDescent="0.25">
      <c r="A14" s="78" t="s">
        <v>621</v>
      </c>
    </row>
    <row r="15" spans="1:9" x14ac:dyDescent="0.25">
      <c r="B15" s="4" t="s">
        <v>107</v>
      </c>
      <c r="C15" s="983">
        <v>11</v>
      </c>
      <c r="D15" s="167">
        <f>+'141 BOA'!N48</f>
        <v>76139</v>
      </c>
    </row>
    <row r="16" spans="1:9" x14ac:dyDescent="0.25">
      <c r="B16" s="4" t="s">
        <v>549</v>
      </c>
      <c r="C16" s="983">
        <v>5</v>
      </c>
      <c r="D16" s="167">
        <f>+'141 BOA'!N49</f>
        <v>35781.199999999997</v>
      </c>
    </row>
    <row r="18" spans="1:5" x14ac:dyDescent="0.25">
      <c r="A18" s="78" t="s">
        <v>622</v>
      </c>
    </row>
    <row r="19" spans="1:5" x14ac:dyDescent="0.25">
      <c r="B19" s="4" t="s">
        <v>622</v>
      </c>
      <c r="C19" s="898">
        <v>9</v>
      </c>
      <c r="D19" s="167">
        <f>+'145 Treas'!N41+'145 Treas'!N42</f>
        <v>72824</v>
      </c>
    </row>
    <row r="20" spans="1:5" x14ac:dyDescent="0.25">
      <c r="B20" s="4" t="s">
        <v>1576</v>
      </c>
      <c r="C20" s="876">
        <v>7</v>
      </c>
      <c r="D20" s="167">
        <f>+'145 Treas'!N44</f>
        <v>44098.6</v>
      </c>
    </row>
    <row r="21" spans="1:5" x14ac:dyDescent="0.25">
      <c r="B21" s="4" t="s">
        <v>623</v>
      </c>
      <c r="C21" s="876">
        <v>10</v>
      </c>
      <c r="D21" s="167">
        <f>+'145 Treas'!N43</f>
        <v>39894.400000000001</v>
      </c>
    </row>
    <row r="23" spans="1:5" x14ac:dyDescent="0.25">
      <c r="A23" s="78" t="s">
        <v>386</v>
      </c>
    </row>
    <row r="24" spans="1:5" x14ac:dyDescent="0.25">
      <c r="B24" s="4" t="s">
        <v>386</v>
      </c>
      <c r="C24" s="983">
        <v>11</v>
      </c>
      <c r="D24" s="167">
        <f>+'161 Clerk'!N47+'161 Clerk'!N48+'161 Clerk'!N49</f>
        <v>77979</v>
      </c>
      <c r="E24" s="4" t="s">
        <v>1275</v>
      </c>
    </row>
    <row r="25" spans="1:5" x14ac:dyDescent="0.25">
      <c r="B25" s="4" t="s">
        <v>385</v>
      </c>
      <c r="C25" s="876">
        <v>10</v>
      </c>
      <c r="D25" s="167">
        <f>+'161 Clerk'!N50</f>
        <v>46774</v>
      </c>
    </row>
    <row r="27" spans="1:5" x14ac:dyDescent="0.25">
      <c r="A27" s="78" t="s">
        <v>624</v>
      </c>
    </row>
    <row r="28" spans="1:5" x14ac:dyDescent="0.25">
      <c r="B28" s="4" t="s">
        <v>625</v>
      </c>
      <c r="C28" s="876">
        <v>10</v>
      </c>
      <c r="D28" s="167">
        <f>+'175 Planning'!N37</f>
        <v>74282</v>
      </c>
    </row>
    <row r="29" spans="1:5" x14ac:dyDescent="0.25">
      <c r="B29" s="4" t="s">
        <v>1360</v>
      </c>
      <c r="C29" s="876">
        <v>6</v>
      </c>
      <c r="D29" s="167">
        <f>+'175 Planning'!N38</f>
        <v>43024.800000000003</v>
      </c>
    </row>
    <row r="31" spans="1:5" x14ac:dyDescent="0.25">
      <c r="A31" s="78" t="s">
        <v>631</v>
      </c>
    </row>
    <row r="32" spans="1:5" x14ac:dyDescent="0.25">
      <c r="B32" s="4" t="s">
        <v>626</v>
      </c>
      <c r="C32" s="876">
        <v>10</v>
      </c>
      <c r="D32" s="167">
        <f>+'211 Police'!P68+'211 Police'!N68</f>
        <v>125239.2</v>
      </c>
      <c r="E32" s="4" t="s">
        <v>1685</v>
      </c>
    </row>
    <row r="33" spans="2:11" x14ac:dyDescent="0.25">
      <c r="B33" s="4" t="s">
        <v>1209</v>
      </c>
      <c r="C33" s="983">
        <v>11</v>
      </c>
      <c r="D33" s="167">
        <f>+'211 Police'!P69+'211 Police'!N69</f>
        <v>109593.9</v>
      </c>
    </row>
    <row r="34" spans="2:11" x14ac:dyDescent="0.25">
      <c r="B34" s="4" t="s">
        <v>627</v>
      </c>
      <c r="C34" s="983">
        <v>5</v>
      </c>
      <c r="D34" s="167">
        <f>+'211 Police'!N70+'211 Police'!P70</f>
        <v>93259.5</v>
      </c>
    </row>
    <row r="35" spans="2:11" x14ac:dyDescent="0.25">
      <c r="B35" s="4" t="s">
        <v>628</v>
      </c>
      <c r="C35" s="983">
        <v>5</v>
      </c>
      <c r="D35" s="167">
        <f>+'211 Police'!P71+'211 Police'!N71</f>
        <v>76971.675000000003</v>
      </c>
    </row>
    <row r="36" spans="2:11" x14ac:dyDescent="0.25">
      <c r="B36" s="4" t="s">
        <v>628</v>
      </c>
      <c r="C36" s="983">
        <v>5</v>
      </c>
      <c r="D36" s="167">
        <f>+'211 Police'!P72+'211 Police'!N72</f>
        <v>69974.25</v>
      </c>
    </row>
    <row r="37" spans="2:11" x14ac:dyDescent="0.25">
      <c r="B37" s="4" t="s">
        <v>628</v>
      </c>
      <c r="C37" s="983">
        <v>5</v>
      </c>
      <c r="D37" s="167">
        <f>+'211 Police'!P73+'211 Police'!N73</f>
        <v>76971.675000000003</v>
      </c>
    </row>
    <row r="38" spans="2:11" x14ac:dyDescent="0.25">
      <c r="B38" s="4" t="s">
        <v>1936</v>
      </c>
      <c r="C38" s="983">
        <v>3</v>
      </c>
      <c r="D38" s="167">
        <f>+'211 Police'!N85</f>
        <v>64720.75</v>
      </c>
    </row>
    <row r="39" spans="2:11" x14ac:dyDescent="0.25">
      <c r="B39" s="4" t="s">
        <v>629</v>
      </c>
      <c r="C39" s="1067">
        <v>8</v>
      </c>
      <c r="D39" s="167">
        <f>+'211 Police'!P74+'211 Police'!N74</f>
        <v>72192.175000000003</v>
      </c>
    </row>
    <row r="40" spans="2:11" x14ac:dyDescent="0.25">
      <c r="B40" s="4" t="s">
        <v>629</v>
      </c>
      <c r="C40" s="876">
        <v>5</v>
      </c>
      <c r="D40" s="167">
        <f>+'211 Police'!P75+'211 Police'!N75</f>
        <v>69986.100000000006</v>
      </c>
      <c r="K40" s="80"/>
    </row>
    <row r="41" spans="2:11" x14ac:dyDescent="0.25">
      <c r="B41" s="4" t="s">
        <v>768</v>
      </c>
      <c r="C41" s="983">
        <v>8</v>
      </c>
      <c r="D41" s="167">
        <f>+'211 Police'!P76+'211 Police'!N76</f>
        <v>60514</v>
      </c>
      <c r="K41" s="80"/>
    </row>
    <row r="42" spans="2:11" x14ac:dyDescent="0.25">
      <c r="B42" s="4" t="s">
        <v>768</v>
      </c>
      <c r="C42" s="983">
        <v>8</v>
      </c>
      <c r="D42" s="167">
        <f>+'211 Police'!P77+'211 Police'!N77</f>
        <v>60514</v>
      </c>
    </row>
    <row r="43" spans="2:11" x14ac:dyDescent="0.25">
      <c r="B43" s="4" t="s">
        <v>630</v>
      </c>
      <c r="C43" s="983">
        <v>8</v>
      </c>
      <c r="D43" s="167">
        <f>+'211 Police'!P78+'211 Police'!N78</f>
        <v>60514</v>
      </c>
    </row>
    <row r="44" spans="2:11" x14ac:dyDescent="0.25">
      <c r="B44" s="4" t="s">
        <v>630</v>
      </c>
      <c r="C44" s="876">
        <v>7</v>
      </c>
      <c r="D44" s="167">
        <f>+'211 Police'!P79+'211 Police'!N79</f>
        <v>64023.574999999997</v>
      </c>
    </row>
    <row r="45" spans="2:11" x14ac:dyDescent="0.25">
      <c r="B45" s="4" t="s">
        <v>630</v>
      </c>
      <c r="C45" s="983">
        <v>8</v>
      </c>
      <c r="D45" s="167">
        <f>+'211 Police'!P80+'211 Police'!N80</f>
        <v>60514</v>
      </c>
    </row>
    <row r="46" spans="2:11" x14ac:dyDescent="0.25">
      <c r="B46" s="4" t="s">
        <v>630</v>
      </c>
      <c r="C46" s="983">
        <v>8</v>
      </c>
      <c r="D46" s="167">
        <f>+'211 Police'!P81+'211 Police'!N81</f>
        <v>60514</v>
      </c>
      <c r="E46" s="167"/>
    </row>
    <row r="47" spans="2:11" x14ac:dyDescent="0.25">
      <c r="B47" s="4" t="s">
        <v>630</v>
      </c>
      <c r="C47" s="876">
        <v>5</v>
      </c>
      <c r="D47" s="167">
        <f>+'211 Police'!P82+'211 Police'!N82</f>
        <v>59200.625</v>
      </c>
      <c r="E47" s="167"/>
    </row>
    <row r="48" spans="2:11" x14ac:dyDescent="0.25">
      <c r="B48" s="4" t="s">
        <v>630</v>
      </c>
      <c r="C48" s="876">
        <v>4</v>
      </c>
      <c r="D48" s="167">
        <f>+'211 Police'!P83+'211 Police'!N83</f>
        <v>51764.75</v>
      </c>
      <c r="E48" s="167"/>
    </row>
    <row r="49" spans="1:5" x14ac:dyDescent="0.25">
      <c r="B49" s="4" t="s">
        <v>630</v>
      </c>
      <c r="C49" s="876">
        <v>3</v>
      </c>
      <c r="D49" s="167">
        <f>+'211 Police'!P84+'211 Police'!N84</f>
        <v>59700.3</v>
      </c>
      <c r="E49" s="167"/>
    </row>
    <row r="50" spans="1:5" x14ac:dyDescent="0.25">
      <c r="B50" s="4" t="s">
        <v>388</v>
      </c>
      <c r="C50" s="876">
        <v>9</v>
      </c>
      <c r="D50" s="167">
        <f>+'211 Police'!N86</f>
        <v>14857.45</v>
      </c>
      <c r="E50" s="4" t="s">
        <v>1210</v>
      </c>
    </row>
    <row r="51" spans="1:5" x14ac:dyDescent="0.25">
      <c r="D51" s="167"/>
    </row>
    <row r="52" spans="1:5" x14ac:dyDescent="0.25">
      <c r="B52" s="4" t="s">
        <v>632</v>
      </c>
    </row>
    <row r="53" spans="1:5" x14ac:dyDescent="0.25">
      <c r="E53" s="167"/>
    </row>
    <row r="54" spans="1:5" x14ac:dyDescent="0.25">
      <c r="A54" s="78" t="s">
        <v>633</v>
      </c>
    </row>
    <row r="55" spans="1:5" x14ac:dyDescent="0.25">
      <c r="B55" s="26" t="s">
        <v>634</v>
      </c>
      <c r="C55" s="984">
        <v>11</v>
      </c>
      <c r="D55" s="167">
        <f>+'212 Dispatch'!N36</f>
        <v>59382.720000000001</v>
      </c>
    </row>
    <row r="56" spans="1:5" x14ac:dyDescent="0.25">
      <c r="B56" s="26" t="s">
        <v>635</v>
      </c>
      <c r="C56" s="905">
        <v>3</v>
      </c>
      <c r="D56" s="167">
        <f>+'212 Dispatch'!N37</f>
        <v>43331.5</v>
      </c>
    </row>
    <row r="57" spans="1:5" x14ac:dyDescent="0.25">
      <c r="B57" s="26" t="s">
        <v>635</v>
      </c>
      <c r="C57" s="909">
        <v>7</v>
      </c>
      <c r="D57" s="213">
        <f>+'212 Dispatch'!N38</f>
        <v>47854.25</v>
      </c>
    </row>
    <row r="58" spans="1:5" x14ac:dyDescent="0.25">
      <c r="B58" s="26" t="s">
        <v>635</v>
      </c>
      <c r="C58" s="1068">
        <v>11</v>
      </c>
      <c r="D58" s="213">
        <f>+'212 Dispatch'!N39</f>
        <v>52021.5</v>
      </c>
    </row>
    <row r="59" spans="1:5" x14ac:dyDescent="0.25">
      <c r="B59" s="26" t="s">
        <v>635</v>
      </c>
      <c r="C59" s="909">
        <v>10</v>
      </c>
      <c r="D59" s="213">
        <f>+'212 Dispatch'!N40</f>
        <v>50757.5</v>
      </c>
    </row>
    <row r="60" spans="1:5" x14ac:dyDescent="0.25">
      <c r="B60" s="26" t="s">
        <v>1935</v>
      </c>
      <c r="C60" s="909">
        <v>2</v>
      </c>
      <c r="D60" s="213">
        <f>+'212 Dispatch'!N41</f>
        <v>43331.5</v>
      </c>
    </row>
    <row r="61" spans="1:5" x14ac:dyDescent="0.25">
      <c r="B61" s="26"/>
      <c r="C61" s="905"/>
    </row>
    <row r="62" spans="1:5" x14ac:dyDescent="0.25">
      <c r="A62" s="78" t="s">
        <v>387</v>
      </c>
    </row>
    <row r="63" spans="1:5" x14ac:dyDescent="0.25">
      <c r="B63" s="4" t="s">
        <v>636</v>
      </c>
      <c r="C63" s="876">
        <v>4</v>
      </c>
      <c r="D63" s="167">
        <f>+'241 Bldg'!N41</f>
        <v>65317</v>
      </c>
    </row>
    <row r="64" spans="1:5" x14ac:dyDescent="0.25">
      <c r="B64" s="4" t="s">
        <v>962</v>
      </c>
      <c r="C64" s="983">
        <v>11</v>
      </c>
      <c r="D64" s="167">
        <f>+'241 Bldg'!N42</f>
        <v>40895.4</v>
      </c>
    </row>
    <row r="66" spans="1:9" x14ac:dyDescent="0.25">
      <c r="A66" s="78" t="s">
        <v>637</v>
      </c>
    </row>
    <row r="67" spans="1:9" x14ac:dyDescent="0.25">
      <c r="B67" s="26" t="s">
        <v>638</v>
      </c>
      <c r="C67" s="984">
        <v>11</v>
      </c>
      <c r="D67" s="167">
        <f>+'420 DPW'!N69</f>
        <v>97250</v>
      </c>
    </row>
    <row r="68" spans="1:9" x14ac:dyDescent="0.25">
      <c r="B68" s="26" t="s">
        <v>639</v>
      </c>
      <c r="C68" s="905">
        <v>7</v>
      </c>
      <c r="D68" s="167">
        <f>+'420 DPW'!N70</f>
        <v>54392</v>
      </c>
    </row>
    <row r="69" spans="1:9" x14ac:dyDescent="0.25">
      <c r="B69" s="26" t="s">
        <v>640</v>
      </c>
      <c r="C69" s="909">
        <v>7</v>
      </c>
      <c r="D69" s="167">
        <f>+'420 DPW'!N71</f>
        <v>65873.600000000006</v>
      </c>
      <c r="I69" s="68"/>
    </row>
    <row r="70" spans="1:9" x14ac:dyDescent="0.25">
      <c r="B70" s="26" t="s">
        <v>641</v>
      </c>
      <c r="C70" s="905">
        <v>5</v>
      </c>
      <c r="D70" s="167">
        <f>+'420 DPW'!N72</f>
        <v>51771.199999999997</v>
      </c>
    </row>
    <row r="71" spans="1:9" x14ac:dyDescent="0.25">
      <c r="B71" s="26" t="s">
        <v>731</v>
      </c>
      <c r="C71" s="905">
        <v>4</v>
      </c>
      <c r="D71" s="167">
        <f>+'420 DPW'!N73</f>
        <v>46987.199999999997</v>
      </c>
      <c r="G71" s="240" t="s">
        <v>945</v>
      </c>
      <c r="H71" s="885">
        <v>85</v>
      </c>
    </row>
    <row r="72" spans="1:9" x14ac:dyDescent="0.25">
      <c r="B72" s="26" t="s">
        <v>642</v>
      </c>
      <c r="C72" s="905">
        <v>10</v>
      </c>
      <c r="D72" s="167">
        <f>+'420 DPW'!N74</f>
        <v>49296</v>
      </c>
      <c r="G72" s="240" t="s">
        <v>1580</v>
      </c>
      <c r="H72" s="885">
        <v>23</v>
      </c>
      <c r="I72" s="369">
        <f>ROUND((+H72/$H$71),4)</f>
        <v>0.27060000000000001</v>
      </c>
    </row>
    <row r="73" spans="1:9" x14ac:dyDescent="0.25">
      <c r="B73" s="26" t="s">
        <v>642</v>
      </c>
      <c r="C73" s="909">
        <v>7</v>
      </c>
      <c r="D73" s="167">
        <f>+'420 DPW'!N75</f>
        <v>46446.400000000001</v>
      </c>
      <c r="G73" s="240" t="s">
        <v>1581</v>
      </c>
      <c r="H73" s="885">
        <v>34</v>
      </c>
      <c r="I73" s="369">
        <f>ROUND((+H73/$H$71),4)</f>
        <v>0.4</v>
      </c>
    </row>
    <row r="74" spans="1:9" x14ac:dyDescent="0.25">
      <c r="B74" s="26" t="s">
        <v>643</v>
      </c>
      <c r="C74" s="905">
        <v>8</v>
      </c>
      <c r="D74" s="167">
        <f>+'420 DPW'!N76</f>
        <v>37356.800000000003</v>
      </c>
    </row>
    <row r="75" spans="1:9" x14ac:dyDescent="0.25">
      <c r="B75" s="26" t="s">
        <v>1276</v>
      </c>
      <c r="C75" s="909">
        <v>8</v>
      </c>
      <c r="D75" s="167">
        <f>+'420 DPW'!N79</f>
        <v>51646.400000000001</v>
      </c>
    </row>
    <row r="76" spans="1:9" x14ac:dyDescent="0.25">
      <c r="B76" s="26" t="s">
        <v>644</v>
      </c>
      <c r="C76" s="905">
        <v>5</v>
      </c>
      <c r="D76" s="167">
        <f>+'420 DPW'!N77</f>
        <v>44179.199999999997</v>
      </c>
    </row>
    <row r="77" spans="1:9" x14ac:dyDescent="0.25">
      <c r="B77" s="148" t="s">
        <v>644</v>
      </c>
      <c r="C77" s="909">
        <v>2</v>
      </c>
      <c r="D77" s="167">
        <f>+'420 DPW'!N78</f>
        <v>41059.199999999997</v>
      </c>
    </row>
    <row r="78" spans="1:9" x14ac:dyDescent="0.25">
      <c r="B78" s="26" t="s">
        <v>1048</v>
      </c>
      <c r="C78" s="905">
        <v>3</v>
      </c>
      <c r="D78" s="167">
        <f>+'420 DPW'!N80</f>
        <v>11834.9</v>
      </c>
      <c r="E78" s="4" t="s">
        <v>1211</v>
      </c>
    </row>
    <row r="79" spans="1:9" x14ac:dyDescent="0.25">
      <c r="B79" s="26" t="s">
        <v>645</v>
      </c>
      <c r="C79" s="909">
        <v>4</v>
      </c>
      <c r="D79" s="213">
        <f>+'420 DPW'!N81</f>
        <v>46987.199999999997</v>
      </c>
    </row>
    <row r="80" spans="1:9" x14ac:dyDescent="0.25">
      <c r="B80" s="26" t="s">
        <v>645</v>
      </c>
      <c r="C80" s="905">
        <v>5</v>
      </c>
      <c r="D80" s="167">
        <f>+'420 DPW'!N83</f>
        <v>48172.800000000003</v>
      </c>
    </row>
    <row r="81" spans="1:5" x14ac:dyDescent="0.25">
      <c r="B81" s="26" t="s">
        <v>645</v>
      </c>
      <c r="C81" s="905">
        <v>4</v>
      </c>
      <c r="D81" s="167">
        <f>+'420 DPW'!N82</f>
        <v>46987.199999999997</v>
      </c>
    </row>
    <row r="82" spans="1:5" x14ac:dyDescent="0.25">
      <c r="B82" s="26" t="s">
        <v>646</v>
      </c>
      <c r="C82" s="905">
        <v>4</v>
      </c>
      <c r="D82" s="167">
        <f>+'420 DPW'!N84</f>
        <v>43160</v>
      </c>
    </row>
    <row r="83" spans="1:5" x14ac:dyDescent="0.25">
      <c r="B83" s="26" t="s">
        <v>647</v>
      </c>
      <c r="C83" s="905">
        <v>4</v>
      </c>
      <c r="D83" s="167">
        <f>+'420 DPW'!N85</f>
        <v>43160</v>
      </c>
    </row>
    <row r="84" spans="1:5" x14ac:dyDescent="0.25">
      <c r="A84" s="167"/>
      <c r="B84" s="26" t="s">
        <v>648</v>
      </c>
      <c r="C84" s="905">
        <v>4</v>
      </c>
      <c r="D84" s="167">
        <f>+'420 DPW'!N86</f>
        <v>43160</v>
      </c>
      <c r="E84" s="167"/>
    </row>
    <row r="85" spans="1:5" x14ac:dyDescent="0.25">
      <c r="A85" s="167"/>
      <c r="B85" s="26" t="s">
        <v>647</v>
      </c>
      <c r="C85" s="905">
        <v>10</v>
      </c>
      <c r="D85" s="167">
        <f>+'420 DPW'!N87</f>
        <v>49296</v>
      </c>
      <c r="E85" s="167"/>
    </row>
    <row r="86" spans="1:5" x14ac:dyDescent="0.25">
      <c r="A86" s="167"/>
      <c r="B86" s="26" t="s">
        <v>646</v>
      </c>
      <c r="C86" s="905">
        <v>9</v>
      </c>
      <c r="D86" s="167">
        <f>+'420 DPW'!N88</f>
        <v>48318.400000000001</v>
      </c>
      <c r="E86" s="167"/>
    </row>
    <row r="87" spans="1:5" x14ac:dyDescent="0.25">
      <c r="D87" s="167"/>
    </row>
    <row r="88" spans="1:5" x14ac:dyDescent="0.25">
      <c r="A88" s="78" t="s">
        <v>649</v>
      </c>
    </row>
    <row r="89" spans="1:5" x14ac:dyDescent="0.25">
      <c r="B89" s="4" t="s">
        <v>563</v>
      </c>
      <c r="C89" s="876">
        <v>8</v>
      </c>
      <c r="D89" s="167">
        <f>+'511 BOH'!N47</f>
        <v>71396</v>
      </c>
    </row>
    <row r="90" spans="1:5" x14ac:dyDescent="0.25">
      <c r="B90" s="4" t="s">
        <v>962</v>
      </c>
      <c r="C90" s="876">
        <v>10</v>
      </c>
      <c r="D90" s="167">
        <f>+'511 BOH'!N48</f>
        <v>39894.400000000001</v>
      </c>
    </row>
    <row r="92" spans="1:5" x14ac:dyDescent="0.25">
      <c r="A92" s="78" t="s">
        <v>650</v>
      </c>
    </row>
    <row r="93" spans="1:5" x14ac:dyDescent="0.25">
      <c r="B93" s="4" t="s">
        <v>651</v>
      </c>
      <c r="C93" s="876">
        <v>10</v>
      </c>
      <c r="D93" s="167">
        <f>+'541 COA'!N32</f>
        <v>41779.919999999998</v>
      </c>
      <c r="E93" s="4" t="s">
        <v>1212</v>
      </c>
    </row>
    <row r="95" spans="1:5" x14ac:dyDescent="0.25">
      <c r="A95" s="78" t="s">
        <v>652</v>
      </c>
    </row>
    <row r="96" spans="1:5" x14ac:dyDescent="0.25">
      <c r="B96" s="26" t="s">
        <v>391</v>
      </c>
      <c r="C96" s="905">
        <v>10</v>
      </c>
      <c r="D96" s="167">
        <f>+'610 Library'!N53</f>
        <v>74282</v>
      </c>
    </row>
    <row r="97" spans="1:5" x14ac:dyDescent="0.25">
      <c r="B97" s="26" t="s">
        <v>390</v>
      </c>
      <c r="C97" s="909">
        <v>10</v>
      </c>
      <c r="D97" s="167">
        <f>+'610 Library'!N54+'610 Library'!N55</f>
        <v>54199.25</v>
      </c>
      <c r="E97" s="4" t="s">
        <v>1341</v>
      </c>
    </row>
    <row r="98" spans="1:5" x14ac:dyDescent="0.25">
      <c r="B98" s="26" t="s">
        <v>653</v>
      </c>
      <c r="C98" s="909">
        <v>7</v>
      </c>
      <c r="D98" s="167">
        <f>+'610 Library'!N56</f>
        <v>37764.089999999997</v>
      </c>
    </row>
    <row r="99" spans="1:5" x14ac:dyDescent="0.25">
      <c r="B99" s="26" t="s">
        <v>656</v>
      </c>
      <c r="C99" s="909">
        <v>4</v>
      </c>
      <c r="D99" s="167">
        <f>+'610 Library'!N57</f>
        <v>10213.84</v>
      </c>
      <c r="E99" s="4" t="s">
        <v>784</v>
      </c>
    </row>
    <row r="100" spans="1:5" x14ac:dyDescent="0.25">
      <c r="B100" s="26" t="s">
        <v>656</v>
      </c>
      <c r="C100" s="909">
        <v>5</v>
      </c>
      <c r="D100" s="167">
        <f>+'610 Library'!N58</f>
        <v>24373.58</v>
      </c>
      <c r="E100" s="4" t="s">
        <v>654</v>
      </c>
    </row>
    <row r="101" spans="1:5" x14ac:dyDescent="0.25">
      <c r="B101" s="26" t="s">
        <v>656</v>
      </c>
      <c r="C101" s="1068">
        <v>11</v>
      </c>
      <c r="D101" s="167">
        <f>+'610 Library'!N59</f>
        <v>14142.52</v>
      </c>
      <c r="E101" s="4" t="s">
        <v>655</v>
      </c>
    </row>
    <row r="102" spans="1:5" x14ac:dyDescent="0.25">
      <c r="B102" s="26" t="s">
        <v>656</v>
      </c>
      <c r="C102" s="909">
        <v>10</v>
      </c>
      <c r="D102" s="167">
        <f>+'610 Library'!N60</f>
        <v>28665.78</v>
      </c>
      <c r="E102" s="4" t="s">
        <v>1277</v>
      </c>
    </row>
    <row r="103" spans="1:5" x14ac:dyDescent="0.25">
      <c r="B103" s="26" t="s">
        <v>656</v>
      </c>
      <c r="C103" s="909">
        <v>5</v>
      </c>
      <c r="D103" s="167">
        <f>+'610 Library'!N61</f>
        <v>18525.919999999998</v>
      </c>
      <c r="E103" s="4" t="s">
        <v>1577</v>
      </c>
    </row>
    <row r="104" spans="1:5" x14ac:dyDescent="0.25">
      <c r="B104" s="26" t="s">
        <v>656</v>
      </c>
      <c r="C104" s="909">
        <v>4</v>
      </c>
      <c r="D104" s="167">
        <f>+'610 Library'!N62</f>
        <v>13879.08</v>
      </c>
      <c r="E104" s="4" t="s">
        <v>963</v>
      </c>
    </row>
    <row r="105" spans="1:5" x14ac:dyDescent="0.25">
      <c r="A105" s="167"/>
      <c r="B105" s="4" t="s">
        <v>656</v>
      </c>
      <c r="C105" s="898">
        <v>7</v>
      </c>
      <c r="D105" s="167">
        <f>+'610 Library'!N63</f>
        <v>7306.64</v>
      </c>
      <c r="E105" s="4" t="s">
        <v>784</v>
      </c>
    </row>
    <row r="106" spans="1:5" x14ac:dyDescent="0.25">
      <c r="A106" s="167"/>
      <c r="B106" s="26" t="s">
        <v>657</v>
      </c>
      <c r="C106" s="909">
        <v>4</v>
      </c>
      <c r="D106" s="167">
        <f>+'610 Library'!N64</f>
        <v>13016.43</v>
      </c>
      <c r="E106" s="4" t="s">
        <v>1578</v>
      </c>
    </row>
    <row r="108" spans="1:5" x14ac:dyDescent="0.25">
      <c r="A108" s="78" t="s">
        <v>658</v>
      </c>
    </row>
    <row r="109" spans="1:5" x14ac:dyDescent="0.25">
      <c r="B109" s="4" t="s">
        <v>571</v>
      </c>
      <c r="C109" s="983">
        <v>11</v>
      </c>
      <c r="D109" s="167">
        <f>+'630 Recreation'!N38</f>
        <v>76139</v>
      </c>
    </row>
    <row r="110" spans="1:5" x14ac:dyDescent="0.25">
      <c r="B110" s="4" t="s">
        <v>962</v>
      </c>
      <c r="C110" s="876">
        <v>10</v>
      </c>
      <c r="D110" s="167">
        <f>+'630 Recreation'!N39</f>
        <v>22796.799999999999</v>
      </c>
      <c r="E110" s="4" t="s">
        <v>1212</v>
      </c>
    </row>
    <row r="112" spans="1:5" x14ac:dyDescent="0.25">
      <c r="A112" s="78" t="s">
        <v>710</v>
      </c>
    </row>
    <row r="113" spans="1:5" x14ac:dyDescent="0.25">
      <c r="B113" s="4" t="s">
        <v>659</v>
      </c>
      <c r="C113" s="898">
        <v>9</v>
      </c>
      <c r="D113" s="167">
        <f>+'600 482 Airport'!N48</f>
        <v>52688.9</v>
      </c>
      <c r="E113" s="4" t="s">
        <v>1579</v>
      </c>
    </row>
    <row r="114" spans="1:5" x14ac:dyDescent="0.25">
      <c r="B114" s="4" t="s">
        <v>1851</v>
      </c>
      <c r="C114" s="876">
        <v>9</v>
      </c>
      <c r="D114" s="23">
        <f>+'600 482 Airport'!O10</f>
        <v>28585</v>
      </c>
      <c r="E114" s="4" t="s">
        <v>1939</v>
      </c>
    </row>
    <row r="116" spans="1:5" x14ac:dyDescent="0.25">
      <c r="A116" s="78" t="s">
        <v>984</v>
      </c>
    </row>
    <row r="117" spans="1:5" x14ac:dyDescent="0.25">
      <c r="B117" s="26" t="s">
        <v>1085</v>
      </c>
      <c r="C117" s="909">
        <v>7</v>
      </c>
      <c r="D117" s="213">
        <f>+'661 440 WPCF'!N73</f>
        <v>89407</v>
      </c>
    </row>
    <row r="118" spans="1:5" x14ac:dyDescent="0.25">
      <c r="B118" s="26" t="s">
        <v>1817</v>
      </c>
      <c r="C118" s="909">
        <v>3</v>
      </c>
      <c r="D118" s="167">
        <f>+'661 440 WPCF'!N75</f>
        <v>61470.720000000001</v>
      </c>
    </row>
    <row r="119" spans="1:5" x14ac:dyDescent="0.25">
      <c r="B119" s="26" t="s">
        <v>1049</v>
      </c>
      <c r="C119" s="909">
        <v>10</v>
      </c>
      <c r="D119" s="167">
        <f>+'661 440 WPCF'!N76</f>
        <v>57085.919999999998</v>
      </c>
    </row>
    <row r="120" spans="1:5" x14ac:dyDescent="0.25">
      <c r="B120" s="26" t="s">
        <v>731</v>
      </c>
      <c r="C120" s="1068">
        <v>10</v>
      </c>
      <c r="D120" s="167">
        <f>+'661 440 WPCF'!N77</f>
        <v>58234.32</v>
      </c>
    </row>
    <row r="121" spans="1:5" x14ac:dyDescent="0.25">
      <c r="B121" s="26" t="s">
        <v>1050</v>
      </c>
      <c r="C121" s="909">
        <v>4</v>
      </c>
      <c r="D121" s="167">
        <f>+'661 440 WPCF'!N78</f>
        <v>44912.88</v>
      </c>
    </row>
    <row r="122" spans="1:5" x14ac:dyDescent="0.25">
      <c r="B122" s="26" t="s">
        <v>1050</v>
      </c>
      <c r="C122" s="909">
        <v>3</v>
      </c>
      <c r="D122" s="167">
        <f>+'661 440 WPCF'!N79</f>
        <v>44912.88</v>
      </c>
    </row>
    <row r="123" spans="1:5" x14ac:dyDescent="0.25">
      <c r="B123" s="4" t="s">
        <v>1278</v>
      </c>
      <c r="C123" s="898">
        <v>6</v>
      </c>
      <c r="D123" s="167">
        <f>+'661 440 WPCF'!N80</f>
        <v>41238</v>
      </c>
    </row>
    <row r="124" spans="1:5" x14ac:dyDescent="0.25">
      <c r="B124" s="4" t="s">
        <v>1940</v>
      </c>
      <c r="C124" s="898">
        <v>2</v>
      </c>
      <c r="D124" s="167">
        <f>+'661 440 WPCF'!N81</f>
        <v>44704.08</v>
      </c>
    </row>
    <row r="125" spans="1:5" x14ac:dyDescent="0.25">
      <c r="B125" s="4" t="s">
        <v>962</v>
      </c>
      <c r="C125" s="898">
        <v>4</v>
      </c>
      <c r="D125" s="23">
        <f>+'661 440 WPCF'!N74</f>
        <v>40026.959999999999</v>
      </c>
    </row>
  </sheetData>
  <mergeCells count="1">
    <mergeCell ref="A1:F1"/>
  </mergeCells>
  <phoneticPr fontId="16" type="noConversion"/>
  <printOptions horizontalCentered="1"/>
  <pageMargins left="0.75" right="0.75" top="1" bottom="1" header="0.5" footer="0.5"/>
  <pageSetup scale="97" fitToHeight="3" orientation="portrait" r:id="rId1"/>
  <headerFooter alignWithMargins="0">
    <oddFooter>&amp;L&amp;D &amp;T&amp;C&amp;F&amp;R&amp;A&amp;P</oddFooter>
  </headerFooter>
  <rowBreaks count="1" manualBreakCount="1">
    <brk id="87"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pageSetUpPr fitToPage="1"/>
  </sheetPr>
  <dimension ref="A1:V45"/>
  <sheetViews>
    <sheetView zoomScale="75" zoomScaleNormal="75" workbookViewId="0">
      <pane xSplit="1" ySplit="3" topLeftCell="B4" activePane="bottomRight" state="frozen"/>
      <selection activeCell="C81" activeCellId="2" sqref="A11 K81 C81"/>
      <selection pane="topRight" activeCell="C81" activeCellId="2" sqref="A11 K81 C81"/>
      <selection pane="bottomLeft" activeCell="C81" activeCellId="2" sqref="A11 K81 C81"/>
      <selection pane="bottomRight" activeCell="Q4" sqref="Q4"/>
    </sheetView>
  </sheetViews>
  <sheetFormatPr defaultRowHeight="13.2" x14ac:dyDescent="0.25"/>
  <cols>
    <col min="1" max="1" width="37.33203125" style="755" customWidth="1"/>
    <col min="2" max="2" width="15.77734375" style="971" customWidth="1"/>
    <col min="3" max="3" width="15.77734375" style="971" hidden="1" customWidth="1"/>
    <col min="4" max="4" width="13" style="975" customWidth="1"/>
    <col min="5" max="5" width="15.109375" style="975" bestFit="1" customWidth="1"/>
    <col min="6" max="6" width="12.44140625" style="975" bestFit="1" customWidth="1"/>
    <col min="7" max="7" width="12.109375" style="975" bestFit="1" customWidth="1"/>
    <col min="8" max="8" width="13.44140625" style="975" bestFit="1" customWidth="1"/>
    <col min="9" max="10" width="12.109375" style="975" customWidth="1"/>
    <col min="11" max="11" width="10" style="975" customWidth="1"/>
    <col min="12" max="12" width="10.33203125" style="975" customWidth="1"/>
    <col min="13" max="13" width="12" style="975" customWidth="1"/>
    <col min="14" max="14" width="11.109375" style="975" hidden="1" customWidth="1"/>
    <col min="15" max="15" width="10.77734375" style="975" hidden="1" customWidth="1"/>
    <col min="16" max="16" width="10.77734375" style="975" customWidth="1"/>
    <col min="17" max="17" width="11.44140625" style="971" customWidth="1"/>
    <col min="18" max="22" width="9.33203125" style="755"/>
  </cols>
  <sheetData>
    <row r="1" spans="1:17" x14ac:dyDescent="0.25">
      <c r="A1" s="756"/>
      <c r="D1" s="972"/>
      <c r="E1" s="972"/>
      <c r="F1" s="972"/>
      <c r="G1" s="972" t="s">
        <v>711</v>
      </c>
      <c r="H1" s="973" t="s">
        <v>1391</v>
      </c>
      <c r="I1" s="972" t="s">
        <v>554</v>
      </c>
      <c r="J1" s="973" t="s">
        <v>1574</v>
      </c>
      <c r="K1" s="972" t="s">
        <v>333</v>
      </c>
      <c r="L1" s="972" t="s">
        <v>334</v>
      </c>
      <c r="M1" s="972" t="s">
        <v>709</v>
      </c>
      <c r="N1" s="972" t="s">
        <v>709</v>
      </c>
      <c r="O1" s="972" t="s">
        <v>710</v>
      </c>
      <c r="P1" s="972" t="s">
        <v>1926</v>
      </c>
      <c r="Q1" s="971" t="s">
        <v>1568</v>
      </c>
    </row>
    <row r="2" spans="1:17" x14ac:dyDescent="0.25">
      <c r="B2" s="974" t="s">
        <v>439</v>
      </c>
      <c r="C2" s="974" t="s">
        <v>1295</v>
      </c>
      <c r="D2" s="972" t="s">
        <v>551</v>
      </c>
      <c r="E2" s="972" t="s">
        <v>195</v>
      </c>
      <c r="F2" s="972" t="s">
        <v>710</v>
      </c>
      <c r="G2" s="972" t="s">
        <v>1866</v>
      </c>
      <c r="H2" s="973" t="s">
        <v>1930</v>
      </c>
      <c r="I2" s="972" t="s">
        <v>1392</v>
      </c>
      <c r="J2" s="973" t="s">
        <v>1394</v>
      </c>
      <c r="K2" s="972" t="s">
        <v>1394</v>
      </c>
      <c r="L2" s="972" t="s">
        <v>1394</v>
      </c>
      <c r="M2" s="972" t="s">
        <v>1392</v>
      </c>
      <c r="N2" s="972" t="s">
        <v>1393</v>
      </c>
      <c r="O2" s="972" t="s">
        <v>1393</v>
      </c>
      <c r="P2" s="972" t="s">
        <v>1927</v>
      </c>
      <c r="Q2" s="971" t="s">
        <v>471</v>
      </c>
    </row>
    <row r="3" spans="1:17" x14ac:dyDescent="0.25">
      <c r="A3" s="755" t="s">
        <v>552</v>
      </c>
      <c r="B3" s="974" t="s">
        <v>1404</v>
      </c>
      <c r="C3" s="974"/>
      <c r="D3" s="975">
        <f>+'Working Budget with funding det'!M6+'Working Budget with funding det'!M7+'Working Budget with funding det'!M8+'Working Budget with funding det'!N12</f>
        <v>24566930.670000002</v>
      </c>
      <c r="E3" s="975">
        <f>+'Working Budget with funding det'!N26</f>
        <v>2605938</v>
      </c>
      <c r="F3" s="975">
        <f>+'Working Budget with funding det'!N27</f>
        <v>316015</v>
      </c>
      <c r="G3" s="976">
        <v>310813</v>
      </c>
      <c r="H3" s="976">
        <f>+'Revenue Projections Detail'!L74</f>
        <v>251242</v>
      </c>
      <c r="I3" s="976">
        <v>1723401.49</v>
      </c>
      <c r="J3" s="989">
        <v>457991</v>
      </c>
      <c r="K3" s="976">
        <v>142075</v>
      </c>
      <c r="L3" s="976">
        <v>102407</v>
      </c>
      <c r="M3" s="989">
        <v>384643</v>
      </c>
      <c r="N3" s="989">
        <v>39216</v>
      </c>
      <c r="O3" s="976">
        <v>0</v>
      </c>
      <c r="P3" s="976">
        <v>502446</v>
      </c>
      <c r="Q3" s="976">
        <v>1131166</v>
      </c>
    </row>
    <row r="4" spans="1:17" x14ac:dyDescent="0.25">
      <c r="B4" s="974"/>
      <c r="C4" s="974"/>
      <c r="H4" s="976"/>
      <c r="I4" s="976"/>
      <c r="J4" s="976"/>
      <c r="K4" s="976"/>
      <c r="L4" s="976"/>
      <c r="M4" s="976"/>
      <c r="N4" s="976"/>
      <c r="O4" s="976"/>
      <c r="P4" s="976"/>
    </row>
    <row r="5" spans="1:17" x14ac:dyDescent="0.25">
      <c r="A5" s="755" t="s">
        <v>1395</v>
      </c>
      <c r="B5" s="971">
        <f>+'Working Budget with funding det'!N108</f>
        <v>11176944</v>
      </c>
      <c r="C5" s="1147" t="e">
        <f>ROUND((+B5/$B$37),4)</f>
        <v>#REF!</v>
      </c>
      <c r="D5" s="975">
        <f t="shared" ref="D5:D10" si="0">+B5-SUM(E5:O5)</f>
        <v>11176944</v>
      </c>
      <c r="Q5" s="971">
        <f t="shared" ref="Q5:Q10" si="1">SUM(D5:O5)-B5</f>
        <v>0</v>
      </c>
    </row>
    <row r="6" spans="1:17" x14ac:dyDescent="0.25">
      <c r="A6" s="755" t="s">
        <v>1396</v>
      </c>
      <c r="B6" s="971">
        <f>+'Working Budget with funding det'!N117</f>
        <v>2872377</v>
      </c>
      <c r="C6" s="1147" t="e">
        <f t="shared" ref="C6:C10" si="2">ROUND((+B6/$B$37),4)</f>
        <v>#REF!</v>
      </c>
      <c r="D6" s="975">
        <f t="shared" si="0"/>
        <v>266439</v>
      </c>
      <c r="E6" s="975">
        <f>+'Working Budget with funding det'!U117</f>
        <v>2605938</v>
      </c>
      <c r="Q6" s="971">
        <f t="shared" si="1"/>
        <v>0</v>
      </c>
    </row>
    <row r="7" spans="1:17" x14ac:dyDescent="0.25">
      <c r="A7" s="755" t="s">
        <v>1397</v>
      </c>
      <c r="B7" s="971">
        <f>+'Working Budget with funding det'!N237</f>
        <v>49950</v>
      </c>
      <c r="C7" s="1147" t="e">
        <f t="shared" si="2"/>
        <v>#REF!</v>
      </c>
      <c r="D7" s="975">
        <f t="shared" si="0"/>
        <v>0</v>
      </c>
      <c r="G7" s="975">
        <f>+'Working Budget with funding det'!Q14</f>
        <v>49950</v>
      </c>
      <c r="Q7" s="971">
        <f t="shared" si="1"/>
        <v>0</v>
      </c>
    </row>
    <row r="8" spans="1:17" x14ac:dyDescent="0.25">
      <c r="A8" s="755" t="s">
        <v>1398</v>
      </c>
      <c r="B8" s="971">
        <f>+'Working Budget with funding det'!N124</f>
        <v>316015</v>
      </c>
      <c r="C8" s="1147" t="e">
        <f t="shared" si="2"/>
        <v>#REF!</v>
      </c>
      <c r="D8" s="975">
        <f t="shared" si="0"/>
        <v>0</v>
      </c>
      <c r="F8" s="975">
        <f>+'Working Budget with funding det'!V124</f>
        <v>316015</v>
      </c>
      <c r="Q8" s="971">
        <f t="shared" si="1"/>
        <v>0</v>
      </c>
    </row>
    <row r="9" spans="1:17" x14ac:dyDescent="0.25">
      <c r="A9" s="755" t="s">
        <v>1217</v>
      </c>
      <c r="B9" s="971">
        <f>+'Working Budget with funding det'!N127</f>
        <v>1029566</v>
      </c>
      <c r="C9" s="1147" t="e">
        <f t="shared" si="2"/>
        <v>#REF!</v>
      </c>
      <c r="D9" s="975">
        <f t="shared" si="0"/>
        <v>1029566</v>
      </c>
      <c r="K9" s="977"/>
      <c r="Q9" s="971">
        <f t="shared" si="1"/>
        <v>0</v>
      </c>
    </row>
    <row r="10" spans="1:17" x14ac:dyDescent="0.25">
      <c r="A10" s="755" t="s">
        <v>714</v>
      </c>
      <c r="B10" s="971">
        <f>+'Working Budget with funding det'!N128</f>
        <v>11341466</v>
      </c>
      <c r="C10" s="1147" t="e">
        <f t="shared" si="2"/>
        <v>#REF!</v>
      </c>
      <c r="D10" s="975">
        <f t="shared" si="0"/>
        <v>11341466</v>
      </c>
      <c r="Q10" s="971">
        <f t="shared" si="1"/>
        <v>0</v>
      </c>
    </row>
    <row r="12" spans="1:17" x14ac:dyDescent="0.25">
      <c r="A12" s="755" t="s">
        <v>1556</v>
      </c>
      <c r="B12" s="978">
        <f t="shared" ref="B12:O12" si="3">SUM(B5:B11)</f>
        <v>26786318</v>
      </c>
      <c r="C12" s="978"/>
      <c r="D12" s="978">
        <f t="shared" si="3"/>
        <v>23814415</v>
      </c>
      <c r="E12" s="978">
        <f t="shared" si="3"/>
        <v>2605938</v>
      </c>
      <c r="F12" s="978">
        <f t="shared" si="3"/>
        <v>316015</v>
      </c>
      <c r="G12" s="978">
        <f t="shared" si="3"/>
        <v>49950</v>
      </c>
      <c r="H12" s="978">
        <f t="shared" si="3"/>
        <v>0</v>
      </c>
      <c r="I12" s="978">
        <f t="shared" si="3"/>
        <v>0</v>
      </c>
      <c r="J12" s="978">
        <f t="shared" ref="J12" si="4">SUM(J5:J11)</f>
        <v>0</v>
      </c>
      <c r="K12" s="978">
        <f t="shared" si="3"/>
        <v>0</v>
      </c>
      <c r="L12" s="978">
        <f t="shared" si="3"/>
        <v>0</v>
      </c>
      <c r="M12" s="978">
        <f t="shared" si="3"/>
        <v>0</v>
      </c>
      <c r="N12" s="978">
        <f t="shared" si="3"/>
        <v>0</v>
      </c>
      <c r="O12" s="978">
        <f t="shared" si="3"/>
        <v>0</v>
      </c>
      <c r="P12" s="978">
        <f t="shared" ref="P12" si="5">SUM(P5:P11)</f>
        <v>0</v>
      </c>
      <c r="Q12" s="978">
        <f t="shared" ref="Q12" si="6">SUM(Q5:Q11)</f>
        <v>0</v>
      </c>
    </row>
    <row r="13" spans="1:17" x14ac:dyDescent="0.25">
      <c r="A13" s="755" t="s">
        <v>1553</v>
      </c>
      <c r="D13" s="975">
        <f t="shared" ref="D13:Q13" si="7">+D3-D12</f>
        <v>752515.67000000179</v>
      </c>
      <c r="E13" s="975">
        <f t="shared" si="7"/>
        <v>0</v>
      </c>
      <c r="F13" s="975">
        <f t="shared" si="7"/>
        <v>0</v>
      </c>
      <c r="G13" s="975">
        <f t="shared" si="7"/>
        <v>260863</v>
      </c>
      <c r="H13" s="975">
        <f t="shared" si="7"/>
        <v>251242</v>
      </c>
      <c r="I13" s="975">
        <f t="shared" si="7"/>
        <v>1723401.49</v>
      </c>
      <c r="J13" s="975">
        <f t="shared" si="7"/>
        <v>457991</v>
      </c>
      <c r="K13" s="975">
        <f t="shared" si="7"/>
        <v>142075</v>
      </c>
      <c r="L13" s="975">
        <f t="shared" si="7"/>
        <v>102407</v>
      </c>
      <c r="M13" s="975">
        <f t="shared" si="7"/>
        <v>384643</v>
      </c>
      <c r="N13" s="975">
        <f t="shared" si="7"/>
        <v>39216</v>
      </c>
      <c r="O13" s="975">
        <f t="shared" si="7"/>
        <v>0</v>
      </c>
      <c r="P13" s="975">
        <f t="shared" ref="P13" si="8">+P3-P12</f>
        <v>502446</v>
      </c>
      <c r="Q13" s="975">
        <f t="shared" si="7"/>
        <v>1131166</v>
      </c>
    </row>
    <row r="14" spans="1:17" x14ac:dyDescent="0.25">
      <c r="Q14" s="975"/>
    </row>
    <row r="15" spans="1:17" x14ac:dyDescent="0.25">
      <c r="A15" s="755" t="s">
        <v>1399</v>
      </c>
      <c r="B15" s="971">
        <f>+'Working Budget with funding det'!N147</f>
        <v>40608</v>
      </c>
      <c r="C15" s="1147" t="e">
        <f t="shared" ref="C15:C18" si="9">ROUND((+B15/$B$37),4)</f>
        <v>#REF!</v>
      </c>
      <c r="D15" s="975">
        <f>+B15</f>
        <v>40608</v>
      </c>
      <c r="Q15" s="975"/>
    </row>
    <row r="16" spans="1:17" x14ac:dyDescent="0.25">
      <c r="A16" s="755" t="s">
        <v>1400</v>
      </c>
      <c r="B16" s="971">
        <f>+'Working Budget with funding det'!N143+'Working Budget with funding det'!N148+'Working Budget with funding det'!N149</f>
        <v>131200</v>
      </c>
      <c r="C16" s="1147" t="e">
        <f t="shared" si="9"/>
        <v>#REF!</v>
      </c>
      <c r="D16" s="975">
        <f>+B16-SUM(E16:O16)</f>
        <v>131200</v>
      </c>
      <c r="Q16" s="975"/>
    </row>
    <row r="17" spans="1:17" x14ac:dyDescent="0.25">
      <c r="A17" s="755" t="s">
        <v>1401</v>
      </c>
      <c r="B17" s="979">
        <f>+'Working Budget with funding det'!N141</f>
        <v>50000</v>
      </c>
      <c r="C17" s="1147" t="e">
        <f t="shared" si="9"/>
        <v>#REF!</v>
      </c>
      <c r="D17" s="975">
        <f>+B17-SUM(E17:O17)</f>
        <v>50000</v>
      </c>
      <c r="H17" s="977">
        <v>0</v>
      </c>
      <c r="Q17" s="975"/>
    </row>
    <row r="18" spans="1:17" x14ac:dyDescent="0.25">
      <c r="A18" s="970" t="s">
        <v>1915</v>
      </c>
      <c r="B18" s="979" t="e">
        <f>+'Working Budget with funding det'!#REF!</f>
        <v>#REF!</v>
      </c>
      <c r="C18" s="1147" t="e">
        <f t="shared" si="9"/>
        <v>#REF!</v>
      </c>
      <c r="D18" s="977" t="e">
        <f>+B18-SUM(E18:O18)</f>
        <v>#REF!</v>
      </c>
      <c r="E18" s="977"/>
      <c r="F18" s="977"/>
      <c r="G18" s="977"/>
      <c r="H18" s="977"/>
      <c r="I18" s="977"/>
      <c r="J18" s="977"/>
      <c r="K18" s="977"/>
      <c r="L18" s="977"/>
      <c r="M18" s="977"/>
      <c r="N18" s="977"/>
      <c r="O18" s="977"/>
      <c r="P18" s="977"/>
      <c r="Q18" s="977"/>
    </row>
    <row r="19" spans="1:17" x14ac:dyDescent="0.25">
      <c r="Q19" s="975"/>
    </row>
    <row r="20" spans="1:17" x14ac:dyDescent="0.25">
      <c r="A20" s="755" t="s">
        <v>1557</v>
      </c>
      <c r="B20" s="978" t="e">
        <f>SUM(B12:B19)</f>
        <v>#REF!</v>
      </c>
      <c r="C20" s="978"/>
      <c r="D20" s="978" t="e">
        <f t="shared" ref="D20:Q20" si="10">SUM(D15:D19)+D12</f>
        <v>#REF!</v>
      </c>
      <c r="E20" s="978">
        <f t="shared" si="10"/>
        <v>2605938</v>
      </c>
      <c r="F20" s="978">
        <f t="shared" si="10"/>
        <v>316015</v>
      </c>
      <c r="G20" s="978">
        <f t="shared" si="10"/>
        <v>49950</v>
      </c>
      <c r="H20" s="978">
        <f t="shared" si="10"/>
        <v>0</v>
      </c>
      <c r="I20" s="978">
        <f t="shared" si="10"/>
        <v>0</v>
      </c>
      <c r="J20" s="978">
        <f t="shared" si="10"/>
        <v>0</v>
      </c>
      <c r="K20" s="978">
        <f t="shared" si="10"/>
        <v>0</v>
      </c>
      <c r="L20" s="978">
        <f t="shared" si="10"/>
        <v>0</v>
      </c>
      <c r="M20" s="978">
        <f t="shared" si="10"/>
        <v>0</v>
      </c>
      <c r="N20" s="978">
        <f t="shared" si="10"/>
        <v>0</v>
      </c>
      <c r="O20" s="978">
        <f t="shared" si="10"/>
        <v>0</v>
      </c>
      <c r="P20" s="978">
        <f t="shared" si="10"/>
        <v>0</v>
      </c>
      <c r="Q20" s="978">
        <f t="shared" si="10"/>
        <v>0</v>
      </c>
    </row>
    <row r="21" spans="1:17" x14ac:dyDescent="0.25">
      <c r="A21" s="755" t="s">
        <v>1553</v>
      </c>
      <c r="D21" s="975" t="e">
        <f t="shared" ref="D21:Q21" si="11">+D3-D20</f>
        <v>#REF!</v>
      </c>
      <c r="E21" s="975">
        <f t="shared" si="11"/>
        <v>0</v>
      </c>
      <c r="F21" s="975">
        <f t="shared" si="11"/>
        <v>0</v>
      </c>
      <c r="G21" s="975">
        <f t="shared" si="11"/>
        <v>260863</v>
      </c>
      <c r="H21" s="975">
        <f t="shared" si="11"/>
        <v>251242</v>
      </c>
      <c r="I21" s="975">
        <f t="shared" si="11"/>
        <v>1723401.49</v>
      </c>
      <c r="J21" s="975">
        <f t="shared" si="11"/>
        <v>457991</v>
      </c>
      <c r="K21" s="975">
        <f t="shared" si="11"/>
        <v>142075</v>
      </c>
      <c r="L21" s="975">
        <f t="shared" si="11"/>
        <v>102407</v>
      </c>
      <c r="M21" s="975">
        <f t="shared" si="11"/>
        <v>384643</v>
      </c>
      <c r="N21" s="975">
        <f t="shared" si="11"/>
        <v>39216</v>
      </c>
      <c r="O21" s="975">
        <f t="shared" si="11"/>
        <v>0</v>
      </c>
      <c r="P21" s="975">
        <f t="shared" si="11"/>
        <v>502446</v>
      </c>
      <c r="Q21" s="975">
        <f t="shared" si="11"/>
        <v>1131166</v>
      </c>
    </row>
    <row r="22" spans="1:17" x14ac:dyDescent="0.25">
      <c r="Q22" s="975"/>
    </row>
    <row r="23" spans="1:17" x14ac:dyDescent="0.25">
      <c r="A23" s="755" t="str">
        <f>+'Working Budget with funding det'!B154</f>
        <v>Town Hall Main Roof</v>
      </c>
      <c r="B23" s="971">
        <f>+'Working Budget with funding det'!N154</f>
        <v>125000</v>
      </c>
      <c r="C23" s="1147" t="e">
        <f t="shared" ref="C23:C34" si="12">ROUND((+B23/$B$37),4)</f>
        <v>#REF!</v>
      </c>
      <c r="D23" s="977">
        <f>+B23-SUM(E23:O23)</f>
        <v>0</v>
      </c>
      <c r="E23" s="977"/>
      <c r="F23" s="977"/>
      <c r="G23" s="977"/>
      <c r="H23" s="977"/>
      <c r="I23" s="977">
        <f>+'Working Budget with funding det'!R154</f>
        <v>125000</v>
      </c>
      <c r="J23" s="977"/>
      <c r="K23" s="977"/>
      <c r="L23" s="977"/>
      <c r="Q23" s="975"/>
    </row>
    <row r="24" spans="1:17" x14ac:dyDescent="0.25">
      <c r="A24" s="755" t="str">
        <f>+'Working Budget with funding det'!B155</f>
        <v>Shea Front Roof</v>
      </c>
      <c r="B24" s="971">
        <f>+'Working Budget with funding det'!N155</f>
        <v>60000</v>
      </c>
      <c r="C24" s="1147" t="e">
        <f t="shared" si="12"/>
        <v>#REF!</v>
      </c>
      <c r="D24" s="977">
        <f>+B24-SUM(E24:O24)</f>
        <v>0</v>
      </c>
      <c r="E24" s="977"/>
      <c r="F24" s="977"/>
      <c r="G24" s="977"/>
      <c r="H24" s="977">
        <f>+'Working Budget with funding det'!P155</f>
        <v>60000</v>
      </c>
      <c r="I24" s="977"/>
      <c r="J24" s="977"/>
      <c r="K24" s="977"/>
      <c r="L24" s="977"/>
      <c r="Q24" s="975"/>
    </row>
    <row r="25" spans="1:17" x14ac:dyDescent="0.25">
      <c r="A25" s="755" t="str">
        <f>+'Working Budget with funding det'!B167</f>
        <v>Add to Conservation Fund</v>
      </c>
      <c r="B25" s="971">
        <f>+'Working Budget with funding det'!N167</f>
        <v>10000</v>
      </c>
      <c r="C25" s="1147" t="e">
        <f t="shared" si="12"/>
        <v>#REF!</v>
      </c>
      <c r="D25" s="977">
        <f>+B25-SUM(E25:O25)</f>
        <v>0</v>
      </c>
      <c r="E25" s="977"/>
      <c r="F25" s="977"/>
      <c r="G25" s="977"/>
      <c r="H25" s="977">
        <v>10000</v>
      </c>
      <c r="I25" s="977"/>
      <c r="J25" s="977"/>
      <c r="K25" s="977"/>
      <c r="L25" s="977"/>
      <c r="Q25" s="975"/>
    </row>
    <row r="26" spans="1:17" x14ac:dyDescent="0.25">
      <c r="A26" s="755" t="s">
        <v>1931</v>
      </c>
      <c r="B26" s="971" t="e">
        <f>+'Working Budget with funding det'!#REF!</f>
        <v>#REF!</v>
      </c>
      <c r="C26" s="1147" t="e">
        <f t="shared" si="12"/>
        <v>#REF!</v>
      </c>
      <c r="D26" s="977" t="e">
        <f>+B26</f>
        <v>#REF!</v>
      </c>
      <c r="E26" s="977"/>
      <c r="F26" s="977"/>
      <c r="G26" s="977"/>
      <c r="H26" s="977"/>
      <c r="I26" s="977"/>
      <c r="J26" s="977"/>
      <c r="K26" s="977"/>
      <c r="L26" s="977"/>
      <c r="Q26" s="975"/>
    </row>
    <row r="27" spans="1:17" x14ac:dyDescent="0.25">
      <c r="A27" s="755" t="str">
        <f>+'Working Budget with funding det'!B180</f>
        <v>Smith Votech Tuition/Trans (FY22-FY24)</v>
      </c>
      <c r="B27" s="971">
        <f>+'Working Budget with funding det'!N180</f>
        <v>45000</v>
      </c>
      <c r="C27" s="1147" t="e">
        <f t="shared" si="12"/>
        <v>#REF!</v>
      </c>
      <c r="D27" s="977">
        <f t="shared" ref="D27:D31" si="13">+B27-SUM(E27:O27)</f>
        <v>45000</v>
      </c>
      <c r="E27" s="977"/>
      <c r="F27" s="977"/>
      <c r="G27" s="977"/>
      <c r="H27" s="977"/>
      <c r="I27" s="977">
        <f>+'Working Budget with funding det'!R180</f>
        <v>0</v>
      </c>
      <c r="J27" s="977"/>
      <c r="K27" s="977"/>
      <c r="L27" s="977"/>
      <c r="Q27" s="975"/>
    </row>
    <row r="28" spans="1:17" x14ac:dyDescent="0.25">
      <c r="A28" s="755" t="str">
        <f>+'Working Budget with funding det'!B222</f>
        <v>Carnegie Drainage/Moisture/Flooring</v>
      </c>
      <c r="B28" s="971">
        <f>+'Working Budget with funding det'!N222</f>
        <v>130000</v>
      </c>
      <c r="C28" s="1147" t="e">
        <f t="shared" si="12"/>
        <v>#REF!</v>
      </c>
      <c r="D28" s="977">
        <f t="shared" si="13"/>
        <v>0</v>
      </c>
      <c r="E28" s="977"/>
      <c r="F28" s="977"/>
      <c r="G28" s="977"/>
      <c r="H28" s="977">
        <f>+'Working Budget with funding det'!P222</f>
        <v>130000</v>
      </c>
      <c r="I28" s="977"/>
      <c r="J28" s="977"/>
      <c r="K28" s="977"/>
      <c r="L28" s="977"/>
      <c r="Q28" s="975"/>
    </row>
    <row r="29" spans="1:17" x14ac:dyDescent="0.25">
      <c r="A29" s="755" t="str">
        <f>+'Working Budget with funding det'!B223</f>
        <v>MC Library Masonry</v>
      </c>
      <c r="B29" s="971">
        <f>+'Working Budget with funding det'!N223</f>
        <v>100000</v>
      </c>
      <c r="C29" s="1147" t="e">
        <f t="shared" si="12"/>
        <v>#REF!</v>
      </c>
      <c r="D29" s="977">
        <f t="shared" si="13"/>
        <v>0</v>
      </c>
      <c r="E29" s="977"/>
      <c r="F29" s="977"/>
      <c r="G29" s="977"/>
      <c r="H29" s="977"/>
      <c r="I29" s="977">
        <f>+'Working Budget with funding det'!R223</f>
        <v>100000</v>
      </c>
      <c r="J29" s="977"/>
      <c r="K29" s="977"/>
      <c r="L29" s="977"/>
      <c r="Q29" s="975"/>
    </row>
    <row r="30" spans="1:17" x14ac:dyDescent="0.25">
      <c r="A30" s="755" t="str">
        <f>+'Working Budget with funding det'!B200</f>
        <v>DPW Discretionary CIC recommends $50K</v>
      </c>
      <c r="B30" s="971">
        <f>+'Working Budget with funding det'!N200</f>
        <v>75000</v>
      </c>
      <c r="C30" s="1147" t="e">
        <f t="shared" si="12"/>
        <v>#REF!</v>
      </c>
      <c r="D30" s="977">
        <f t="shared" si="13"/>
        <v>75000</v>
      </c>
      <c r="E30" s="977"/>
      <c r="F30" s="977"/>
      <c r="G30" s="977"/>
      <c r="H30" s="977"/>
      <c r="I30" s="977"/>
      <c r="J30" s="977"/>
      <c r="K30" s="977"/>
      <c r="L30" s="977"/>
      <c r="Q30" s="975"/>
    </row>
    <row r="31" spans="1:17" x14ac:dyDescent="0.25">
      <c r="A31" s="755" t="str">
        <f>+'Working Budget with funding det'!B234</f>
        <v>WPCF Backup Generator</v>
      </c>
      <c r="B31" s="971">
        <f>+'Working Budget with funding det'!N234</f>
        <v>130000</v>
      </c>
      <c r="C31" s="1147" t="e">
        <f t="shared" si="12"/>
        <v>#REF!</v>
      </c>
      <c r="D31" s="977">
        <f t="shared" si="13"/>
        <v>0</v>
      </c>
      <c r="E31" s="977"/>
      <c r="F31" s="977"/>
      <c r="G31" s="977"/>
      <c r="H31" s="977"/>
      <c r="I31" s="977"/>
      <c r="J31" s="977"/>
      <c r="K31" s="977"/>
      <c r="L31" s="977"/>
      <c r="M31" s="975">
        <f>+'Working Budget with funding det'!U234</f>
        <v>130000</v>
      </c>
      <c r="Q31" s="975"/>
    </row>
    <row r="32" spans="1:17" x14ac:dyDescent="0.25">
      <c r="A32" s="755" t="s">
        <v>1932</v>
      </c>
      <c r="B32" s="971">
        <f>+'Working Budget with funding det'!N236</f>
        <v>173800</v>
      </c>
      <c r="C32" s="1147" t="e">
        <f t="shared" si="12"/>
        <v>#REF!</v>
      </c>
      <c r="D32" s="977">
        <f t="shared" ref="D32:D34" si="14">+B32-SUM(E32:O32)</f>
        <v>0</v>
      </c>
      <c r="E32" s="977"/>
      <c r="F32" s="977"/>
      <c r="G32" s="977"/>
      <c r="H32" s="977"/>
      <c r="I32" s="977"/>
      <c r="J32" s="977">
        <f>+B32</f>
        <v>173800</v>
      </c>
      <c r="K32" s="977"/>
      <c r="L32" s="977"/>
      <c r="Q32" s="975"/>
    </row>
    <row r="33" spans="1:17" x14ac:dyDescent="0.25">
      <c r="A33" s="755" t="s">
        <v>1933</v>
      </c>
      <c r="B33" s="971">
        <f>+'Working Budget with funding det'!N187</f>
        <v>40000</v>
      </c>
      <c r="C33" s="1147" t="e">
        <f t="shared" si="12"/>
        <v>#REF!</v>
      </c>
      <c r="D33" s="977">
        <f t="shared" si="14"/>
        <v>0</v>
      </c>
      <c r="E33" s="977"/>
      <c r="F33" s="977"/>
      <c r="G33" s="977"/>
      <c r="H33" s="977"/>
      <c r="I33" s="977"/>
      <c r="J33" s="977">
        <f>+B33</f>
        <v>40000</v>
      </c>
      <c r="K33" s="977"/>
      <c r="L33" s="977"/>
      <c r="Q33" s="975"/>
    </row>
    <row r="34" spans="1:17" x14ac:dyDescent="0.25">
      <c r="A34" s="755" t="s">
        <v>1934</v>
      </c>
      <c r="B34" s="971">
        <f>+'Working Budget with funding det'!N186</f>
        <v>25000</v>
      </c>
      <c r="C34" s="1147" t="e">
        <f t="shared" si="12"/>
        <v>#REF!</v>
      </c>
      <c r="D34" s="977">
        <f t="shared" si="14"/>
        <v>0</v>
      </c>
      <c r="E34" s="977"/>
      <c r="F34" s="977"/>
      <c r="G34" s="977"/>
      <c r="H34" s="977"/>
      <c r="I34" s="977"/>
      <c r="J34" s="977">
        <f>+B34</f>
        <v>25000</v>
      </c>
      <c r="K34" s="977"/>
      <c r="L34" s="977"/>
      <c r="Q34" s="975"/>
    </row>
    <row r="35" spans="1:17" x14ac:dyDescent="0.25">
      <c r="B35" s="971">
        <f>+'Working Budget with funding det'!N235</f>
        <v>0</v>
      </c>
      <c r="D35" s="977">
        <f>+B35-SUM(E35:O35)</f>
        <v>0</v>
      </c>
      <c r="E35" s="977"/>
      <c r="F35" s="977"/>
      <c r="G35" s="977"/>
      <c r="H35" s="977"/>
      <c r="I35" s="977"/>
      <c r="J35" s="977"/>
      <c r="K35" s="977"/>
      <c r="L35" s="977"/>
      <c r="N35" s="975">
        <f>+'Working Budget with funding det'!U235</f>
        <v>0</v>
      </c>
      <c r="Q35" s="975"/>
    </row>
    <row r="36" spans="1:17" x14ac:dyDescent="0.25">
      <c r="Q36" s="975"/>
    </row>
    <row r="37" spans="1:17" x14ac:dyDescent="0.25">
      <c r="A37" s="755" t="s">
        <v>1558</v>
      </c>
      <c r="B37" s="980" t="e">
        <f>SUM(B20:B36)</f>
        <v>#REF!</v>
      </c>
      <c r="C37" s="980"/>
      <c r="D37" s="980" t="e">
        <f t="shared" ref="D37:Q37" si="15">SUM(D23:D36)+D20</f>
        <v>#REF!</v>
      </c>
      <c r="E37" s="980">
        <f t="shared" si="15"/>
        <v>2605938</v>
      </c>
      <c r="F37" s="980">
        <f t="shared" si="15"/>
        <v>316015</v>
      </c>
      <c r="G37" s="980">
        <f t="shared" si="15"/>
        <v>49950</v>
      </c>
      <c r="H37" s="981">
        <f t="shared" si="15"/>
        <v>200000</v>
      </c>
      <c r="I37" s="980">
        <f t="shared" si="15"/>
        <v>225000</v>
      </c>
      <c r="J37" s="980">
        <f t="shared" si="15"/>
        <v>238800</v>
      </c>
      <c r="K37" s="980">
        <f t="shared" si="15"/>
        <v>0</v>
      </c>
      <c r="L37" s="980">
        <f t="shared" si="15"/>
        <v>0</v>
      </c>
      <c r="M37" s="980">
        <f t="shared" si="15"/>
        <v>130000</v>
      </c>
      <c r="N37" s="980">
        <f t="shared" si="15"/>
        <v>0</v>
      </c>
      <c r="O37" s="980">
        <f t="shared" si="15"/>
        <v>0</v>
      </c>
      <c r="P37" s="980">
        <f t="shared" si="15"/>
        <v>0</v>
      </c>
      <c r="Q37" s="980">
        <f t="shared" si="15"/>
        <v>0</v>
      </c>
    </row>
    <row r="38" spans="1:17" x14ac:dyDescent="0.25">
      <c r="A38" s="755" t="s">
        <v>1554</v>
      </c>
      <c r="D38" s="975" t="e">
        <f t="shared" ref="D38:Q38" si="16">+D3-D37</f>
        <v>#REF!</v>
      </c>
      <c r="E38" s="975">
        <f t="shared" si="16"/>
        <v>0</v>
      </c>
      <c r="F38" s="975">
        <f t="shared" si="16"/>
        <v>0</v>
      </c>
      <c r="G38" s="975">
        <f t="shared" si="16"/>
        <v>260863</v>
      </c>
      <c r="H38" s="977">
        <f t="shared" si="16"/>
        <v>51242</v>
      </c>
      <c r="I38" s="975">
        <f t="shared" si="16"/>
        <v>1498401.49</v>
      </c>
      <c r="J38" s="975">
        <f t="shared" si="16"/>
        <v>219191</v>
      </c>
      <c r="K38" s="975">
        <f t="shared" si="16"/>
        <v>142075</v>
      </c>
      <c r="L38" s="975">
        <f t="shared" si="16"/>
        <v>102407</v>
      </c>
      <c r="M38" s="975">
        <f t="shared" si="16"/>
        <v>254643</v>
      </c>
      <c r="N38" s="975">
        <f t="shared" si="16"/>
        <v>39216</v>
      </c>
      <c r="O38" s="975">
        <f t="shared" si="16"/>
        <v>0</v>
      </c>
      <c r="P38" s="975">
        <f t="shared" si="16"/>
        <v>502446</v>
      </c>
      <c r="Q38" s="975">
        <f t="shared" si="16"/>
        <v>1131166</v>
      </c>
    </row>
    <row r="39" spans="1:17" x14ac:dyDescent="0.25">
      <c r="E39" s="975" t="s">
        <v>777</v>
      </c>
    </row>
    <row r="40" spans="1:17" x14ac:dyDescent="0.25">
      <c r="I40" s="976"/>
      <c r="J40" s="976"/>
      <c r="K40" s="976"/>
      <c r="L40" s="976"/>
      <c r="M40" s="976"/>
      <c r="Q40" s="976"/>
    </row>
    <row r="43" spans="1:17" x14ac:dyDescent="0.25">
      <c r="A43" s="876"/>
    </row>
    <row r="44" spans="1:17" x14ac:dyDescent="0.25">
      <c r="A44" s="876"/>
    </row>
    <row r="45" spans="1:17" x14ac:dyDescent="0.25">
      <c r="A45" s="876"/>
    </row>
  </sheetData>
  <pageMargins left="0.7" right="0.7" top="0.75" bottom="0.75" header="0.3" footer="0.3"/>
  <pageSetup orientation="portrait" r:id="rId1"/>
  <headerFooter>
    <oddFooter>&amp;L&amp;D &amp;T&amp;C&amp;F&amp;R&amp;A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R191"/>
  <sheetViews>
    <sheetView workbookViewId="0">
      <pane ySplit="7" topLeftCell="A25" activePane="bottomLeft" state="frozen"/>
      <selection activeCell="C81" activeCellId="2" sqref="A11 K81 C81"/>
      <selection pane="bottomLeft" activeCell="P1" sqref="P1:P1048576"/>
    </sheetView>
  </sheetViews>
  <sheetFormatPr defaultRowHeight="13.2" x14ac:dyDescent="0.25"/>
  <cols>
    <col min="1" max="1" width="8.77734375" style="885"/>
    <col min="2" max="2" width="36.6640625" customWidth="1"/>
    <col min="3" max="3" width="14.44140625" style="1" hidden="1" customWidth="1"/>
    <col min="4" max="10" width="14.44140625" style="114" hidden="1" customWidth="1"/>
    <col min="11" max="13" width="14.44140625" style="114" customWidth="1"/>
    <col min="14" max="14" width="14.44140625" customWidth="1"/>
    <col min="15" max="15" width="14.44140625" style="1" customWidth="1"/>
    <col min="16" max="16" width="14.44140625" customWidth="1"/>
    <col min="18" max="18" width="14.44140625" customWidth="1"/>
    <col min="19" max="19" width="14.6640625" customWidth="1"/>
  </cols>
  <sheetData>
    <row r="1" spans="1:18" x14ac:dyDescent="0.25">
      <c r="A1" s="874" t="s">
        <v>1020</v>
      </c>
      <c r="B1" s="371" t="s">
        <v>1348</v>
      </c>
    </row>
    <row r="2" spans="1:18" ht="13.8" x14ac:dyDescent="0.25">
      <c r="A2" s="875" t="s">
        <v>259</v>
      </c>
      <c r="B2" s="45"/>
      <c r="E2" s="141"/>
      <c r="I2" s="141" t="s">
        <v>257</v>
      </c>
      <c r="J2" s="141"/>
      <c r="K2" s="141"/>
      <c r="L2" s="141"/>
      <c r="M2" s="141"/>
      <c r="N2" s="61" t="s">
        <v>274</v>
      </c>
      <c r="P2" s="46" t="s">
        <v>260</v>
      </c>
    </row>
    <row r="3" spans="1:18" ht="13.8" thickBot="1" x14ac:dyDescent="0.3">
      <c r="A3" s="876"/>
      <c r="B3" s="4"/>
      <c r="C3" s="23"/>
      <c r="D3" s="23"/>
      <c r="E3" s="23"/>
      <c r="F3" s="23"/>
      <c r="G3" s="23"/>
      <c r="H3" s="23"/>
      <c r="I3" s="23"/>
      <c r="J3" s="23"/>
      <c r="K3" s="23"/>
      <c r="L3" s="23"/>
      <c r="M3" s="23"/>
      <c r="N3" s="4"/>
      <c r="O3" s="23"/>
      <c r="P3" s="4"/>
      <c r="R3" s="4"/>
    </row>
    <row r="4" spans="1:18" ht="13.8" thickTop="1" x14ac:dyDescent="0.25">
      <c r="A4" s="877"/>
      <c r="B4" s="651"/>
      <c r="C4" s="128" t="s">
        <v>127</v>
      </c>
      <c r="D4" s="258" t="s">
        <v>127</v>
      </c>
      <c r="E4" s="258" t="s">
        <v>127</v>
      </c>
      <c r="F4" s="258" t="s">
        <v>127</v>
      </c>
      <c r="G4" s="258" t="s">
        <v>127</v>
      </c>
      <c r="H4" s="258" t="s">
        <v>127</v>
      </c>
      <c r="I4" s="289" t="s">
        <v>127</v>
      </c>
      <c r="J4" s="289" t="s">
        <v>127</v>
      </c>
      <c r="K4" s="289" t="s">
        <v>547</v>
      </c>
      <c r="L4" s="289" t="s">
        <v>127</v>
      </c>
      <c r="M4" s="289" t="s">
        <v>547</v>
      </c>
      <c r="N4" s="112" t="s">
        <v>495</v>
      </c>
      <c r="O4" s="84" t="s">
        <v>910</v>
      </c>
      <c r="P4" s="7" t="s">
        <v>910</v>
      </c>
    </row>
    <row r="5" spans="1:18" x14ac:dyDescent="0.25">
      <c r="A5" s="878"/>
      <c r="B5" s="209"/>
      <c r="C5" s="127"/>
      <c r="D5" s="87"/>
      <c r="E5" s="113"/>
      <c r="F5" s="87"/>
      <c r="G5" s="87"/>
      <c r="H5" s="87"/>
      <c r="I5" s="290"/>
      <c r="J5" s="290"/>
      <c r="K5" s="290"/>
      <c r="L5" s="290"/>
      <c r="M5" s="290"/>
      <c r="N5" s="113" t="s">
        <v>515</v>
      </c>
      <c r="O5" s="88" t="s">
        <v>7</v>
      </c>
      <c r="P5" s="203" t="s">
        <v>782</v>
      </c>
    </row>
    <row r="6" spans="1:18" x14ac:dyDescent="0.25">
      <c r="A6" s="878"/>
      <c r="B6" s="209"/>
      <c r="C6" s="127"/>
      <c r="D6" s="127"/>
      <c r="E6" s="127"/>
      <c r="F6" s="127"/>
      <c r="G6" s="127"/>
      <c r="H6" s="127"/>
      <c r="I6" s="88"/>
      <c r="J6" s="88"/>
      <c r="K6" s="88"/>
      <c r="L6" s="88"/>
      <c r="M6" s="88"/>
      <c r="N6" s="127"/>
      <c r="O6" s="88" t="s">
        <v>8</v>
      </c>
      <c r="P6" s="47" t="s">
        <v>543</v>
      </c>
    </row>
    <row r="7" spans="1:18"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44561</v>
      </c>
      <c r="O7" s="9" t="s">
        <v>9</v>
      </c>
      <c r="P7" s="9" t="s">
        <v>546</v>
      </c>
    </row>
    <row r="8" spans="1:18" ht="13.8" thickTop="1" x14ac:dyDescent="0.25">
      <c r="A8" s="890"/>
      <c r="B8" s="48"/>
      <c r="C8" s="323"/>
      <c r="D8" s="100"/>
      <c r="E8" s="100"/>
      <c r="F8" s="100"/>
      <c r="G8" s="100"/>
      <c r="H8" s="100"/>
      <c r="I8" s="100"/>
      <c r="J8" s="100"/>
      <c r="K8" s="49"/>
      <c r="L8" s="100"/>
      <c r="M8" s="49"/>
      <c r="N8" s="100"/>
      <c r="O8" s="49"/>
      <c r="P8" s="49"/>
    </row>
    <row r="9" spans="1:18" ht="13.8" thickBot="1" x14ac:dyDescent="0.3">
      <c r="A9" s="891">
        <v>5115</v>
      </c>
      <c r="B9" s="50" t="s">
        <v>382</v>
      </c>
      <c r="C9" s="131">
        <v>327</v>
      </c>
      <c r="D9" s="15">
        <v>340</v>
      </c>
      <c r="E9" s="15">
        <v>340</v>
      </c>
      <c r="F9" s="15">
        <v>340</v>
      </c>
      <c r="G9" s="15">
        <v>340</v>
      </c>
      <c r="H9" s="15">
        <v>350</v>
      </c>
      <c r="I9" s="15">
        <v>350</v>
      </c>
      <c r="J9" s="15">
        <v>370</v>
      </c>
      <c r="K9" s="16">
        <v>370</v>
      </c>
      <c r="L9" s="15">
        <v>370</v>
      </c>
      <c r="M9" s="16">
        <v>370</v>
      </c>
      <c r="N9" s="15"/>
      <c r="O9" s="16">
        <v>370</v>
      </c>
      <c r="P9" s="16"/>
    </row>
    <row r="10" spans="1:18" x14ac:dyDescent="0.25">
      <c r="A10" s="891"/>
      <c r="B10" s="51" t="s">
        <v>130</v>
      </c>
      <c r="C10" s="132">
        <f t="shared" ref="C10:O10" si="0">+C9</f>
        <v>327</v>
      </c>
      <c r="D10" s="18">
        <f t="shared" si="0"/>
        <v>340</v>
      </c>
      <c r="E10" s="18">
        <f t="shared" si="0"/>
        <v>340</v>
      </c>
      <c r="F10" s="18">
        <f>+F9</f>
        <v>340</v>
      </c>
      <c r="G10" s="18">
        <f>+G9</f>
        <v>340</v>
      </c>
      <c r="H10" s="18">
        <f>+H9</f>
        <v>350</v>
      </c>
      <c r="I10" s="18">
        <f>+I9</f>
        <v>350</v>
      </c>
      <c r="J10" s="18">
        <f>+J9</f>
        <v>370</v>
      </c>
      <c r="K10" s="36">
        <f t="shared" ref="K10:M10" si="1">+K9</f>
        <v>370</v>
      </c>
      <c r="L10" s="18">
        <f t="shared" si="1"/>
        <v>370</v>
      </c>
      <c r="M10" s="36">
        <f t="shared" si="1"/>
        <v>370</v>
      </c>
      <c r="N10" s="18">
        <f t="shared" si="0"/>
        <v>0</v>
      </c>
      <c r="O10" s="36">
        <f t="shared" si="0"/>
        <v>370</v>
      </c>
      <c r="P10" s="36"/>
    </row>
    <row r="11" spans="1:18" x14ac:dyDescent="0.25">
      <c r="A11" s="891"/>
      <c r="B11" s="50"/>
      <c r="C11" s="130"/>
      <c r="D11" s="13"/>
      <c r="E11" s="13"/>
      <c r="F11" s="13"/>
      <c r="G11" s="13"/>
      <c r="H11" s="13"/>
      <c r="I11" s="13"/>
      <c r="J11" s="13"/>
      <c r="K11" s="14"/>
      <c r="L11" s="13"/>
      <c r="M11" s="14"/>
      <c r="N11" s="13"/>
      <c r="O11" s="14"/>
      <c r="P11" s="14"/>
    </row>
    <row r="12" spans="1:18" x14ac:dyDescent="0.25">
      <c r="A12" s="891">
        <v>5279</v>
      </c>
      <c r="B12" s="50" t="s">
        <v>131</v>
      </c>
      <c r="C12" s="130"/>
      <c r="D12" s="13">
        <v>0</v>
      </c>
      <c r="E12" s="13"/>
      <c r="F12" s="13"/>
      <c r="G12" s="13"/>
      <c r="H12" s="13"/>
      <c r="I12" s="144"/>
      <c r="J12" s="144"/>
      <c r="K12" s="122"/>
      <c r="L12" s="144"/>
      <c r="M12" s="122"/>
      <c r="N12" s="13"/>
      <c r="O12" s="122"/>
      <c r="P12" s="122"/>
    </row>
    <row r="13" spans="1:18" x14ac:dyDescent="0.25">
      <c r="A13" s="891">
        <v>5314</v>
      </c>
      <c r="B13" s="50" t="s">
        <v>1039</v>
      </c>
      <c r="C13" s="250"/>
      <c r="D13" s="37"/>
      <c r="E13" s="37"/>
      <c r="F13" s="37"/>
      <c r="G13" s="37">
        <v>37</v>
      </c>
      <c r="H13" s="37"/>
      <c r="I13" s="233"/>
      <c r="J13" s="233"/>
      <c r="K13" s="125"/>
      <c r="L13" s="233"/>
      <c r="M13" s="125"/>
      <c r="N13" s="37"/>
      <c r="O13" s="125"/>
      <c r="P13" s="125"/>
    </row>
    <row r="14" spans="1:18" x14ac:dyDescent="0.25">
      <c r="A14" s="891">
        <v>5315</v>
      </c>
      <c r="B14" s="50" t="s">
        <v>993</v>
      </c>
      <c r="C14" s="250">
        <v>300</v>
      </c>
      <c r="D14" s="37">
        <v>105</v>
      </c>
      <c r="E14" s="37">
        <v>165</v>
      </c>
      <c r="F14" s="37">
        <v>165</v>
      </c>
      <c r="G14" s="37">
        <v>120</v>
      </c>
      <c r="H14" s="37">
        <v>165</v>
      </c>
      <c r="I14" s="37">
        <v>185</v>
      </c>
      <c r="J14" s="37">
        <v>740</v>
      </c>
      <c r="K14" s="38">
        <v>200</v>
      </c>
      <c r="L14" s="37">
        <v>150</v>
      </c>
      <c r="M14" s="38">
        <v>200</v>
      </c>
      <c r="N14" s="37">
        <v>75</v>
      </c>
      <c r="O14" s="38">
        <v>200</v>
      </c>
      <c r="P14" s="38"/>
    </row>
    <row r="15" spans="1:18" x14ac:dyDescent="0.25">
      <c r="A15" s="891">
        <v>5344</v>
      </c>
      <c r="B15" s="50" t="s">
        <v>142</v>
      </c>
      <c r="C15" s="130">
        <v>403.4</v>
      </c>
      <c r="D15" s="13">
        <v>452.78</v>
      </c>
      <c r="E15" s="13">
        <v>550.83000000000004</v>
      </c>
      <c r="F15" s="13">
        <v>253.05</v>
      </c>
      <c r="G15" s="13">
        <v>487.99</v>
      </c>
      <c r="H15" s="13">
        <v>600.05999999999995</v>
      </c>
      <c r="I15" s="13">
        <v>621.99</v>
      </c>
      <c r="J15" s="13">
        <v>614.79999999999995</v>
      </c>
      <c r="K15" s="14">
        <v>700</v>
      </c>
      <c r="L15" s="13">
        <v>873.7</v>
      </c>
      <c r="M15" s="122">
        <v>750</v>
      </c>
      <c r="N15" s="13"/>
      <c r="O15" s="122">
        <v>1000</v>
      </c>
      <c r="P15" s="14"/>
    </row>
    <row r="16" spans="1:18" x14ac:dyDescent="0.25">
      <c r="A16" s="891">
        <v>5420</v>
      </c>
      <c r="B16" s="50" t="s">
        <v>1144</v>
      </c>
      <c r="C16" s="130"/>
      <c r="D16" s="13"/>
      <c r="E16" s="13"/>
      <c r="F16" s="13"/>
      <c r="G16" s="13"/>
      <c r="H16" s="13"/>
      <c r="I16" s="126">
        <v>0</v>
      </c>
      <c r="J16" s="126">
        <v>74.040000000000006</v>
      </c>
      <c r="K16" s="124">
        <v>150</v>
      </c>
      <c r="L16" s="126"/>
      <c r="M16" s="124">
        <v>150</v>
      </c>
      <c r="N16" s="13"/>
      <c r="O16" s="124">
        <v>150</v>
      </c>
      <c r="P16" s="14"/>
    </row>
    <row r="17" spans="1:18" x14ac:dyDescent="0.25">
      <c r="A17" s="891">
        <v>5490</v>
      </c>
      <c r="B17" s="50" t="s">
        <v>795</v>
      </c>
      <c r="C17" s="130">
        <v>511.33</v>
      </c>
      <c r="D17" s="13">
        <v>505.6</v>
      </c>
      <c r="E17" s="13">
        <v>538.77</v>
      </c>
      <c r="F17" s="13">
        <v>590.80999999999995</v>
      </c>
      <c r="G17" s="13">
        <v>576.74</v>
      </c>
      <c r="H17" s="13">
        <v>595.02</v>
      </c>
      <c r="I17" s="13">
        <v>618.01</v>
      </c>
      <c r="J17" s="13">
        <v>17.52</v>
      </c>
      <c r="K17" s="14">
        <v>650</v>
      </c>
      <c r="L17" s="13">
        <v>10</v>
      </c>
      <c r="M17" s="14">
        <v>650</v>
      </c>
      <c r="N17" s="13"/>
      <c r="O17" s="14">
        <v>650</v>
      </c>
      <c r="P17" s="14"/>
    </row>
    <row r="18" spans="1:18" x14ac:dyDescent="0.25">
      <c r="A18" s="891">
        <v>5586</v>
      </c>
      <c r="B18" s="50" t="s">
        <v>1224</v>
      </c>
      <c r="C18" s="132"/>
      <c r="D18" s="18"/>
      <c r="E18" s="18"/>
      <c r="F18" s="18"/>
      <c r="G18" s="18"/>
      <c r="H18" s="18">
        <v>53.74</v>
      </c>
      <c r="I18" s="18"/>
      <c r="J18" s="18">
        <v>2221.27</v>
      </c>
      <c r="K18" s="19"/>
      <c r="L18" s="18"/>
      <c r="M18" s="19"/>
      <c r="N18" s="18"/>
      <c r="O18" s="19"/>
      <c r="P18" s="19"/>
    </row>
    <row r="19" spans="1:18" x14ac:dyDescent="0.25">
      <c r="A19" s="891">
        <v>5710</v>
      </c>
      <c r="B19" s="50" t="s">
        <v>133</v>
      </c>
      <c r="C19" s="18"/>
      <c r="D19" s="18">
        <v>0</v>
      </c>
      <c r="E19" s="18"/>
      <c r="F19" s="18"/>
      <c r="G19" s="18"/>
      <c r="H19" s="18"/>
      <c r="I19" s="18"/>
      <c r="J19" s="18"/>
      <c r="K19" s="19"/>
      <c r="L19" s="18"/>
      <c r="M19" s="19"/>
      <c r="N19" s="18"/>
      <c r="O19" s="19"/>
      <c r="P19" s="19"/>
    </row>
    <row r="20" spans="1:18" ht="13.8" thickBot="1" x14ac:dyDescent="0.3">
      <c r="A20" s="891">
        <v>5730</v>
      </c>
      <c r="B20" s="50" t="s">
        <v>134</v>
      </c>
      <c r="C20" s="15">
        <v>20</v>
      </c>
      <c r="D20" s="15">
        <v>20</v>
      </c>
      <c r="E20" s="15">
        <v>20</v>
      </c>
      <c r="F20" s="15">
        <v>20</v>
      </c>
      <c r="G20" s="15">
        <v>20</v>
      </c>
      <c r="H20" s="15">
        <v>20</v>
      </c>
      <c r="I20" s="15">
        <v>25</v>
      </c>
      <c r="J20" s="15">
        <v>0</v>
      </c>
      <c r="K20" s="16">
        <v>20</v>
      </c>
      <c r="L20" s="15"/>
      <c r="M20" s="16">
        <v>20</v>
      </c>
      <c r="N20" s="15"/>
      <c r="O20" s="16">
        <v>20</v>
      </c>
      <c r="P20" s="16"/>
    </row>
    <row r="21" spans="1:18" x14ac:dyDescent="0.25">
      <c r="A21" s="891"/>
      <c r="B21" s="51" t="s">
        <v>449</v>
      </c>
      <c r="C21" s="18">
        <f t="shared" ref="C21:N21" si="2">SUM(C12:C20)</f>
        <v>1234.73</v>
      </c>
      <c r="D21" s="18">
        <f t="shared" si="2"/>
        <v>1083.3800000000001</v>
      </c>
      <c r="E21" s="18">
        <f t="shared" si="2"/>
        <v>1274.5999999999999</v>
      </c>
      <c r="F21" s="18">
        <f>SUM(F14:F20)</f>
        <v>1028.8599999999999</v>
      </c>
      <c r="G21" s="18">
        <f>SUM(G12:G20)</f>
        <v>1241.73</v>
      </c>
      <c r="H21" s="18">
        <f>SUM(H12:H20)</f>
        <v>1433.82</v>
      </c>
      <c r="I21" s="18">
        <f>SUM(I12:I20)</f>
        <v>1450</v>
      </c>
      <c r="J21" s="18">
        <f>SUM(J12:J20)</f>
        <v>3667.63</v>
      </c>
      <c r="K21" s="19">
        <f t="shared" ref="K21:M21" si="3">SUM(K12:K20)</f>
        <v>1720</v>
      </c>
      <c r="L21" s="18">
        <f t="shared" si="3"/>
        <v>1033.7</v>
      </c>
      <c r="M21" s="19">
        <f t="shared" si="3"/>
        <v>1770</v>
      </c>
      <c r="N21" s="18">
        <f t="shared" si="2"/>
        <v>75</v>
      </c>
      <c r="O21" s="19">
        <f t="shared" ref="O21" si="4">SUM(O12:O20)</f>
        <v>2020</v>
      </c>
      <c r="P21" s="19">
        <f>SUM(P12:P20)</f>
        <v>0</v>
      </c>
    </row>
    <row r="22" spans="1:18" x14ac:dyDescent="0.25">
      <c r="A22" s="891"/>
      <c r="B22" s="50"/>
      <c r="C22" s="13"/>
      <c r="D22" s="13"/>
      <c r="E22" s="13"/>
      <c r="F22" s="13"/>
      <c r="G22" s="13"/>
      <c r="H22" s="13"/>
      <c r="I22" s="13"/>
      <c r="J22" s="13"/>
      <c r="K22" s="14"/>
      <c r="L22" s="13"/>
      <c r="M22" s="14"/>
      <c r="N22" s="13"/>
      <c r="O22" s="14"/>
      <c r="P22" s="14"/>
    </row>
    <row r="23" spans="1:18" ht="13.8" thickBot="1" x14ac:dyDescent="0.3">
      <c r="A23" s="892"/>
      <c r="B23" s="52" t="s">
        <v>275</v>
      </c>
      <c r="C23" s="21">
        <f t="shared" ref="C23:O23" si="5">+C21+C10</f>
        <v>1561.73</v>
      </c>
      <c r="D23" s="21">
        <f t="shared" si="5"/>
        <v>1423.38</v>
      </c>
      <c r="E23" s="21">
        <f t="shared" si="5"/>
        <v>1614.6</v>
      </c>
      <c r="F23" s="21">
        <f>+F21+F10</f>
        <v>1368.86</v>
      </c>
      <c r="G23" s="21">
        <f>+G21+G10</f>
        <v>1581.73</v>
      </c>
      <c r="H23" s="21">
        <f>+H21+H10</f>
        <v>1783.82</v>
      </c>
      <c r="I23" s="21">
        <f t="shared" si="5"/>
        <v>1800</v>
      </c>
      <c r="J23" s="21">
        <f t="shared" ref="J23" si="6">+J21+J10</f>
        <v>4037.63</v>
      </c>
      <c r="K23" s="41">
        <f t="shared" ref="K23:M23" si="7">+K21+K10</f>
        <v>2090</v>
      </c>
      <c r="L23" s="21">
        <f t="shared" si="7"/>
        <v>1403.7</v>
      </c>
      <c r="M23" s="41">
        <f t="shared" si="7"/>
        <v>2140</v>
      </c>
      <c r="N23" s="21">
        <f t="shared" si="5"/>
        <v>75</v>
      </c>
      <c r="O23" s="41">
        <f t="shared" si="5"/>
        <v>2390</v>
      </c>
      <c r="P23" s="41">
        <f>+O23</f>
        <v>2390</v>
      </c>
    </row>
    <row r="24" spans="1:18" ht="13.8" thickTop="1" x14ac:dyDescent="0.25">
      <c r="A24" s="876"/>
      <c r="B24" s="4"/>
      <c r="C24" s="23"/>
      <c r="D24" s="23"/>
      <c r="E24" s="23"/>
      <c r="F24" s="23"/>
      <c r="G24" s="23"/>
      <c r="H24" s="23"/>
      <c r="I24" s="23"/>
      <c r="J24" s="23"/>
      <c r="K24" s="23"/>
      <c r="L24" s="23"/>
      <c r="M24" s="23"/>
      <c r="N24" s="27"/>
      <c r="O24" s="23"/>
      <c r="P24" s="27"/>
      <c r="R24" s="27"/>
    </row>
    <row r="25" spans="1:18" ht="13.8" thickBot="1" x14ac:dyDescent="0.3">
      <c r="A25" s="66"/>
      <c r="B25" s="4"/>
      <c r="C25" s="23"/>
      <c r="D25" s="23"/>
      <c r="E25" s="23"/>
      <c r="F25" s="23"/>
      <c r="G25" s="23"/>
      <c r="H25" s="23"/>
      <c r="I25" s="23"/>
      <c r="J25" s="23"/>
      <c r="K25" s="23"/>
      <c r="L25" s="23"/>
      <c r="M25" s="23"/>
      <c r="N25" s="27"/>
      <c r="O25" s="23"/>
      <c r="P25" s="27"/>
      <c r="R25" s="27"/>
    </row>
    <row r="26" spans="1:18" ht="13.8" thickTop="1" x14ac:dyDescent="0.25">
      <c r="A26" s="893"/>
      <c r="B26" s="452"/>
      <c r="C26" s="453" t="s">
        <v>127</v>
      </c>
      <c r="D26" s="454" t="s">
        <v>127</v>
      </c>
      <c r="E26" s="454" t="s">
        <v>127</v>
      </c>
      <c r="K26" s="455" t="s">
        <v>547</v>
      </c>
      <c r="L26" s="456" t="s">
        <v>9</v>
      </c>
      <c r="M26" s="457" t="s">
        <v>1073</v>
      </c>
      <c r="N26" s="456" t="s">
        <v>686</v>
      </c>
      <c r="O26" s="458"/>
      <c r="P26" s="457"/>
      <c r="R26" s="94"/>
    </row>
    <row r="27" spans="1:18" ht="13.8" thickBot="1" x14ac:dyDescent="0.3">
      <c r="A27" s="894" t="s">
        <v>128</v>
      </c>
      <c r="B27" s="459"/>
      <c r="C27" s="460" t="s">
        <v>347</v>
      </c>
      <c r="D27" s="460" t="s">
        <v>722</v>
      </c>
      <c r="E27" s="461" t="s">
        <v>737</v>
      </c>
      <c r="K27" s="462" t="s">
        <v>909</v>
      </c>
      <c r="L27" s="462" t="s">
        <v>910</v>
      </c>
      <c r="M27" s="461" t="s">
        <v>1075</v>
      </c>
      <c r="N27" s="463" t="s">
        <v>1075</v>
      </c>
      <c r="O27" s="464" t="s">
        <v>1074</v>
      </c>
      <c r="P27" s="462"/>
      <c r="R27" s="89"/>
    </row>
    <row r="28" spans="1:18" ht="13.8" thickTop="1" x14ac:dyDescent="0.25">
      <c r="A28" s="895"/>
      <c r="B28" s="465"/>
      <c r="C28" s="466"/>
      <c r="D28" s="466"/>
      <c r="E28" s="466"/>
      <c r="K28" s="467"/>
      <c r="L28" s="468"/>
      <c r="M28" s="469"/>
      <c r="N28" s="468"/>
      <c r="O28" s="470"/>
      <c r="P28" s="471"/>
      <c r="R28" s="25"/>
    </row>
    <row r="29" spans="1:18" ht="13.8" thickBot="1" x14ac:dyDescent="0.3">
      <c r="A29" s="896">
        <v>5115</v>
      </c>
      <c r="B29" s="473" t="s">
        <v>382</v>
      </c>
      <c r="C29" s="474">
        <v>327</v>
      </c>
      <c r="D29" s="474">
        <v>340</v>
      </c>
      <c r="E29" s="474">
        <v>340</v>
      </c>
      <c r="K29" s="475">
        <f>+M9</f>
        <v>370</v>
      </c>
      <c r="L29" s="497">
        <f>+O9</f>
        <v>370</v>
      </c>
      <c r="M29" s="471">
        <f t="shared" ref="M29:M38" si="8">+L29-K29</f>
        <v>0</v>
      </c>
      <c r="N29" s="477" t="str">
        <f t="shared" ref="N29:N38" si="9">IF(K29+L29&lt;&gt;0,IF(K29&lt;&gt;0,IF(M29&lt;&gt;0,ROUND((+M29/K29),4),""),1),"")</f>
        <v/>
      </c>
      <c r="O29" s="470"/>
      <c r="P29" s="471"/>
      <c r="R29" s="25"/>
    </row>
    <row r="30" spans="1:18" x14ac:dyDescent="0.25">
      <c r="A30" s="896">
        <v>5279</v>
      </c>
      <c r="B30" s="473" t="s">
        <v>131</v>
      </c>
      <c r="C30" s="476"/>
      <c r="D30" s="476">
        <v>0</v>
      </c>
      <c r="E30" s="476"/>
      <c r="K30" s="475">
        <f t="shared" ref="K30:K38" si="10">+M12</f>
        <v>0</v>
      </c>
      <c r="L30" s="497">
        <f t="shared" ref="L30:L38" si="11">+O12</f>
        <v>0</v>
      </c>
      <c r="M30" s="471">
        <f t="shared" si="8"/>
        <v>0</v>
      </c>
      <c r="N30" s="477" t="str">
        <f t="shared" si="9"/>
        <v/>
      </c>
      <c r="O30" s="470"/>
      <c r="P30" s="471"/>
      <c r="R30" s="25"/>
    </row>
    <row r="31" spans="1:18" x14ac:dyDescent="0.25">
      <c r="A31" s="896">
        <v>5314</v>
      </c>
      <c r="B31" s="473" t="s">
        <v>1039</v>
      </c>
      <c r="C31" s="478"/>
      <c r="D31" s="478"/>
      <c r="E31" s="478"/>
      <c r="K31" s="475">
        <f t="shared" si="10"/>
        <v>0</v>
      </c>
      <c r="L31" s="497">
        <f t="shared" si="11"/>
        <v>0</v>
      </c>
      <c r="M31" s="471">
        <f t="shared" si="8"/>
        <v>0</v>
      </c>
      <c r="N31" s="477" t="str">
        <f t="shared" si="9"/>
        <v/>
      </c>
      <c r="O31" s="470"/>
      <c r="P31" s="471"/>
      <c r="R31" s="25"/>
    </row>
    <row r="32" spans="1:18" x14ac:dyDescent="0.25">
      <c r="A32" s="896">
        <v>5315</v>
      </c>
      <c r="B32" s="473" t="s">
        <v>993</v>
      </c>
      <c r="C32" s="478">
        <v>300</v>
      </c>
      <c r="D32" s="478">
        <v>105</v>
      </c>
      <c r="E32" s="478">
        <v>165</v>
      </c>
      <c r="K32" s="475">
        <f t="shared" si="10"/>
        <v>200</v>
      </c>
      <c r="L32" s="497">
        <f t="shared" si="11"/>
        <v>200</v>
      </c>
      <c r="M32" s="471">
        <f t="shared" si="8"/>
        <v>0</v>
      </c>
      <c r="N32" s="477" t="str">
        <f t="shared" si="9"/>
        <v/>
      </c>
      <c r="O32" s="470"/>
      <c r="P32" s="471"/>
      <c r="R32" s="25"/>
    </row>
    <row r="33" spans="1:18" x14ac:dyDescent="0.25">
      <c r="A33" s="896">
        <v>5344</v>
      </c>
      <c r="B33" s="473" t="s">
        <v>142</v>
      </c>
      <c r="C33" s="476">
        <v>403.4</v>
      </c>
      <c r="D33" s="476">
        <v>452.78</v>
      </c>
      <c r="E33" s="476">
        <v>550.83000000000004</v>
      </c>
      <c r="K33" s="475">
        <f t="shared" si="10"/>
        <v>750</v>
      </c>
      <c r="L33" s="497">
        <f t="shared" si="11"/>
        <v>1000</v>
      </c>
      <c r="M33" s="471">
        <f t="shared" si="8"/>
        <v>250</v>
      </c>
      <c r="N33" s="477">
        <f t="shared" si="9"/>
        <v>0.33329999999999999</v>
      </c>
      <c r="O33" s="470"/>
      <c r="P33" s="471"/>
      <c r="R33" s="25"/>
    </row>
    <row r="34" spans="1:18" x14ac:dyDescent="0.25">
      <c r="A34" s="896">
        <v>5420</v>
      </c>
      <c r="B34" s="473" t="s">
        <v>1145</v>
      </c>
      <c r="C34" s="476"/>
      <c r="D34" s="476"/>
      <c r="E34" s="476"/>
      <c r="K34" s="475">
        <f t="shared" si="10"/>
        <v>150</v>
      </c>
      <c r="L34" s="497">
        <f t="shared" si="11"/>
        <v>150</v>
      </c>
      <c r="M34" s="471">
        <f t="shared" si="8"/>
        <v>0</v>
      </c>
      <c r="N34" s="477" t="str">
        <f t="shared" si="9"/>
        <v/>
      </c>
      <c r="O34" s="470"/>
      <c r="P34" s="471"/>
      <c r="R34" s="25"/>
    </row>
    <row r="35" spans="1:18" x14ac:dyDescent="0.25">
      <c r="A35" s="896">
        <v>5586</v>
      </c>
      <c r="B35" s="473" t="s">
        <v>1224</v>
      </c>
      <c r="C35" s="476"/>
      <c r="D35" s="476"/>
      <c r="E35" s="476"/>
      <c r="K35" s="475">
        <f t="shared" si="10"/>
        <v>650</v>
      </c>
      <c r="L35" s="497">
        <f t="shared" si="11"/>
        <v>650</v>
      </c>
      <c r="M35" s="471">
        <f t="shared" si="8"/>
        <v>0</v>
      </c>
      <c r="N35" s="477" t="str">
        <f t="shared" si="9"/>
        <v/>
      </c>
      <c r="O35" s="470"/>
      <c r="P35" s="471"/>
      <c r="R35" s="25"/>
    </row>
    <row r="36" spans="1:18" x14ac:dyDescent="0.25">
      <c r="A36" s="896">
        <v>5490</v>
      </c>
      <c r="B36" s="473" t="s">
        <v>795</v>
      </c>
      <c r="C36" s="476">
        <v>511.33</v>
      </c>
      <c r="D36" s="476">
        <v>505.6</v>
      </c>
      <c r="E36" s="476">
        <v>538.77</v>
      </c>
      <c r="K36" s="475">
        <f t="shared" si="10"/>
        <v>0</v>
      </c>
      <c r="L36" s="497">
        <f t="shared" si="11"/>
        <v>0</v>
      </c>
      <c r="M36" s="471">
        <f t="shared" si="8"/>
        <v>0</v>
      </c>
      <c r="N36" s="477" t="str">
        <f t="shared" si="9"/>
        <v/>
      </c>
      <c r="O36" s="470"/>
      <c r="P36" s="471"/>
      <c r="R36" s="25"/>
    </row>
    <row r="37" spans="1:18" x14ac:dyDescent="0.25">
      <c r="A37" s="896">
        <v>5710</v>
      </c>
      <c r="B37" s="473" t="s">
        <v>133</v>
      </c>
      <c r="C37" s="468"/>
      <c r="D37" s="468">
        <v>0</v>
      </c>
      <c r="E37" s="468"/>
      <c r="K37" s="475">
        <f t="shared" si="10"/>
        <v>0</v>
      </c>
      <c r="L37" s="497">
        <f t="shared" si="11"/>
        <v>0</v>
      </c>
      <c r="M37" s="471">
        <f t="shared" si="8"/>
        <v>0</v>
      </c>
      <c r="N37" s="477" t="str">
        <f t="shared" si="9"/>
        <v/>
      </c>
      <c r="O37" s="470"/>
      <c r="P37" s="471"/>
      <c r="R37" s="27"/>
    </row>
    <row r="38" spans="1:18" ht="13.8" thickBot="1" x14ac:dyDescent="0.3">
      <c r="A38" s="896">
        <v>5730</v>
      </c>
      <c r="B38" s="473" t="s">
        <v>134</v>
      </c>
      <c r="C38" s="474">
        <v>20</v>
      </c>
      <c r="D38" s="474">
        <v>20</v>
      </c>
      <c r="E38" s="474">
        <v>20</v>
      </c>
      <c r="K38" s="475">
        <f t="shared" si="10"/>
        <v>20</v>
      </c>
      <c r="L38" s="497">
        <f t="shared" si="11"/>
        <v>20</v>
      </c>
      <c r="M38" s="471">
        <f t="shared" si="8"/>
        <v>0</v>
      </c>
      <c r="N38" s="477" t="str">
        <f t="shared" si="9"/>
        <v/>
      </c>
      <c r="O38" s="470"/>
      <c r="P38" s="471"/>
      <c r="R38" s="27"/>
    </row>
    <row r="39" spans="1:18" x14ac:dyDescent="0.25">
      <c r="A39" s="876"/>
      <c r="B39" s="4"/>
      <c r="C39" s="23"/>
      <c r="D39" s="23"/>
      <c r="E39" s="23"/>
      <c r="F39" s="23"/>
      <c r="G39" s="23"/>
      <c r="K39" s="23"/>
      <c r="L39" s="23"/>
      <c r="M39" s="23"/>
      <c r="N39" s="27"/>
      <c r="O39" s="23"/>
      <c r="P39" s="27"/>
      <c r="R39" s="27"/>
    </row>
    <row r="40" spans="1:18" x14ac:dyDescent="0.25">
      <c r="A40" s="876"/>
      <c r="B40" s="4" t="s">
        <v>1363</v>
      </c>
      <c r="C40" s="23"/>
      <c r="D40" s="23"/>
      <c r="E40" s="23"/>
      <c r="F40" s="23"/>
      <c r="G40" s="23"/>
      <c r="K40" s="742">
        <f>SUM(K29:K39)</f>
        <v>2140</v>
      </c>
      <c r="L40" s="742">
        <f>SUM(L29:L39)</f>
        <v>2390</v>
      </c>
      <c r="M40" s="202">
        <f>+L40-K40</f>
        <v>250</v>
      </c>
      <c r="N40" s="743">
        <f>IF(K40+L40&lt;&gt;0,IF(K40&lt;&gt;0,IF(M40&lt;&gt;0,ROUND((+M40/K40),4),""),1),"")</f>
        <v>0.1168</v>
      </c>
      <c r="O40" s="23"/>
      <c r="P40" s="27"/>
      <c r="R40" s="27"/>
    </row>
    <row r="41" spans="1:18" x14ac:dyDescent="0.25">
      <c r="A41" s="876"/>
      <c r="B41" s="4"/>
      <c r="C41" s="23"/>
      <c r="D41" s="23"/>
      <c r="E41" s="23"/>
      <c r="F41" s="23"/>
      <c r="G41" s="23"/>
      <c r="H41" s="742"/>
      <c r="I41" s="23"/>
      <c r="J41" s="23"/>
      <c r="K41" s="23"/>
      <c r="L41" s="23"/>
      <c r="M41" s="23"/>
      <c r="N41" s="27"/>
      <c r="O41" s="23"/>
      <c r="P41" s="27"/>
      <c r="R41" s="27"/>
    </row>
    <row r="42" spans="1:18" x14ac:dyDescent="0.25">
      <c r="A42" s="876"/>
      <c r="B42" s="4"/>
      <c r="C42" s="23"/>
      <c r="D42" s="23"/>
      <c r="E42" s="23"/>
      <c r="F42" s="23"/>
      <c r="G42" s="23"/>
      <c r="H42" s="23"/>
      <c r="I42" s="23"/>
      <c r="J42" s="23"/>
      <c r="K42" s="23"/>
      <c r="L42" s="23"/>
      <c r="M42" s="23"/>
      <c r="N42" s="27"/>
      <c r="O42" s="23"/>
      <c r="P42" s="27"/>
      <c r="R42" s="27"/>
    </row>
    <row r="43" spans="1:18" x14ac:dyDescent="0.25">
      <c r="A43" s="876"/>
      <c r="B43" s="4"/>
      <c r="C43" s="23"/>
      <c r="D43" s="23"/>
      <c r="E43" s="23"/>
      <c r="F43" s="23"/>
      <c r="G43" s="23"/>
      <c r="H43" s="23"/>
      <c r="I43" s="23"/>
      <c r="J43" s="23"/>
      <c r="K43" s="23"/>
      <c r="L43" s="23"/>
      <c r="M43" s="23"/>
      <c r="N43" s="27"/>
      <c r="O43" s="23"/>
      <c r="P43" s="27"/>
      <c r="R43" s="27"/>
    </row>
    <row r="44" spans="1:18" x14ac:dyDescent="0.25">
      <c r="A44" s="876"/>
      <c r="B44" s="4"/>
      <c r="C44" s="23"/>
      <c r="D44" s="23"/>
      <c r="E44" s="23"/>
      <c r="F44" s="23"/>
      <c r="G44" s="23"/>
      <c r="H44" s="23"/>
      <c r="I44" s="23"/>
      <c r="J44" s="23"/>
      <c r="K44" s="23"/>
      <c r="L44" s="23"/>
      <c r="M44" s="23"/>
      <c r="N44" s="27"/>
      <c r="O44" s="23"/>
      <c r="P44" s="27"/>
      <c r="R44" s="27"/>
    </row>
    <row r="45" spans="1:18" x14ac:dyDescent="0.25">
      <c r="A45" s="876"/>
      <c r="B45" s="4"/>
      <c r="C45" s="23"/>
      <c r="D45" s="23"/>
      <c r="E45" s="23"/>
      <c r="F45" s="23"/>
      <c r="G45" s="23"/>
      <c r="H45" s="23"/>
      <c r="I45" s="23"/>
      <c r="J45" s="23"/>
      <c r="K45" s="23"/>
      <c r="L45" s="23"/>
      <c r="M45" s="23"/>
      <c r="N45" s="27"/>
      <c r="O45" s="23"/>
      <c r="P45" s="27"/>
      <c r="R45" s="27"/>
    </row>
    <row r="46" spans="1:18" x14ac:dyDescent="0.25">
      <c r="A46" s="876"/>
      <c r="B46" s="4"/>
      <c r="C46" s="23"/>
      <c r="D46" s="23"/>
      <c r="E46" s="23"/>
      <c r="F46" s="23"/>
      <c r="G46" s="23"/>
      <c r="H46" s="23"/>
      <c r="I46" s="23"/>
      <c r="J46" s="23"/>
      <c r="K46" s="23"/>
      <c r="L46" s="23"/>
      <c r="M46" s="23"/>
      <c r="N46" s="27"/>
      <c r="O46" s="23"/>
      <c r="P46" s="27"/>
      <c r="R46" s="27"/>
    </row>
    <row r="47" spans="1:18" x14ac:dyDescent="0.25">
      <c r="A47" s="876"/>
      <c r="B47" s="4"/>
      <c r="C47" s="23"/>
      <c r="D47" s="23"/>
      <c r="E47" s="23"/>
      <c r="F47" s="23"/>
      <c r="G47" s="23"/>
      <c r="H47" s="23"/>
      <c r="I47" s="23"/>
      <c r="J47" s="23"/>
      <c r="K47" s="23"/>
      <c r="L47" s="23"/>
      <c r="M47" s="23"/>
      <c r="N47" s="27"/>
      <c r="O47" s="23"/>
      <c r="P47" s="27"/>
      <c r="R47" s="27"/>
    </row>
    <row r="48" spans="1:18" x14ac:dyDescent="0.25">
      <c r="A48" s="876"/>
      <c r="B48" s="4"/>
      <c r="C48" s="23"/>
      <c r="D48" s="23"/>
      <c r="E48" s="23"/>
      <c r="F48" s="23"/>
      <c r="G48" s="23"/>
      <c r="H48" s="23"/>
      <c r="I48" s="23"/>
      <c r="J48" s="23"/>
      <c r="K48" s="23"/>
      <c r="L48" s="23"/>
      <c r="M48" s="23"/>
      <c r="N48" s="27"/>
      <c r="O48" s="23"/>
      <c r="P48" s="27"/>
      <c r="R48" s="27"/>
    </row>
    <row r="49" spans="1:18" x14ac:dyDescent="0.25">
      <c r="A49" s="876"/>
      <c r="B49" s="4"/>
      <c r="C49" s="23"/>
      <c r="D49" s="23"/>
      <c r="E49" s="23"/>
      <c r="F49" s="23"/>
      <c r="G49" s="23"/>
      <c r="H49" s="23"/>
      <c r="I49" s="23"/>
      <c r="J49" s="23"/>
      <c r="K49" s="23"/>
      <c r="L49" s="23"/>
      <c r="M49" s="23"/>
      <c r="N49" s="27"/>
      <c r="O49" s="23"/>
      <c r="P49" s="27"/>
      <c r="R49" s="27"/>
    </row>
    <row r="50" spans="1:18" x14ac:dyDescent="0.25">
      <c r="A50" s="876"/>
      <c r="B50" s="4"/>
      <c r="C50" s="23"/>
      <c r="D50" s="23"/>
      <c r="E50" s="23"/>
      <c r="F50" s="23"/>
      <c r="G50" s="23"/>
      <c r="H50" s="23"/>
      <c r="I50" s="23"/>
      <c r="J50" s="23"/>
      <c r="K50" s="23"/>
      <c r="L50" s="23"/>
      <c r="M50" s="23"/>
      <c r="N50" s="27"/>
      <c r="O50" s="23"/>
      <c r="P50" s="27"/>
      <c r="R50" s="27"/>
    </row>
    <row r="51" spans="1:18" x14ac:dyDescent="0.25">
      <c r="A51" s="876"/>
      <c r="B51" s="4"/>
      <c r="C51" s="23"/>
      <c r="D51" s="23"/>
      <c r="E51" s="23"/>
      <c r="F51" s="23"/>
      <c r="G51" s="23"/>
      <c r="H51" s="23"/>
      <c r="I51" s="23"/>
      <c r="J51" s="23"/>
      <c r="K51" s="23"/>
      <c r="L51" s="23"/>
      <c r="M51" s="23"/>
      <c r="N51" s="27"/>
      <c r="O51" s="23"/>
      <c r="P51" s="27"/>
      <c r="R51" s="27"/>
    </row>
    <row r="52" spans="1:18" x14ac:dyDescent="0.25">
      <c r="A52" s="876"/>
      <c r="B52" s="4"/>
      <c r="C52" s="23"/>
      <c r="D52" s="23"/>
      <c r="E52" s="23"/>
      <c r="F52" s="23"/>
      <c r="G52" s="23"/>
      <c r="H52" s="23"/>
      <c r="I52" s="23"/>
      <c r="J52" s="23"/>
      <c r="K52" s="23"/>
      <c r="L52" s="23"/>
      <c r="M52" s="23"/>
      <c r="N52" s="27"/>
      <c r="O52" s="23"/>
      <c r="P52" s="27"/>
      <c r="R52" s="27"/>
    </row>
    <row r="53" spans="1:18" x14ac:dyDescent="0.25">
      <c r="A53" s="876"/>
      <c r="B53" s="4"/>
      <c r="C53" s="23"/>
      <c r="D53" s="23"/>
      <c r="E53" s="23"/>
      <c r="F53" s="23"/>
      <c r="G53" s="23"/>
      <c r="H53" s="23"/>
      <c r="I53" s="23"/>
      <c r="J53" s="23"/>
      <c r="K53" s="23"/>
      <c r="L53" s="23"/>
      <c r="M53" s="23"/>
      <c r="N53" s="27"/>
      <c r="O53" s="23"/>
      <c r="P53" s="27"/>
      <c r="R53" s="27"/>
    </row>
    <row r="54" spans="1:18" x14ac:dyDescent="0.25">
      <c r="A54" s="876"/>
      <c r="B54" s="4"/>
      <c r="C54" s="23"/>
      <c r="D54" s="23"/>
      <c r="E54" s="23"/>
      <c r="F54" s="23"/>
      <c r="G54" s="23"/>
      <c r="H54" s="23"/>
      <c r="I54" s="23"/>
      <c r="J54" s="23"/>
      <c r="K54" s="23"/>
      <c r="L54" s="23"/>
      <c r="M54" s="23"/>
      <c r="N54" s="27"/>
      <c r="O54" s="23"/>
      <c r="P54" s="27"/>
      <c r="R54" s="27"/>
    </row>
    <row r="55" spans="1:18" x14ac:dyDescent="0.25">
      <c r="A55" s="876"/>
      <c r="B55" s="4"/>
      <c r="C55" s="23"/>
      <c r="D55" s="23"/>
      <c r="E55" s="23"/>
      <c r="F55" s="23"/>
      <c r="G55" s="23"/>
      <c r="H55" s="23"/>
      <c r="I55" s="23"/>
      <c r="J55" s="23"/>
      <c r="K55" s="23"/>
      <c r="L55" s="23"/>
      <c r="M55" s="23"/>
      <c r="N55" s="27"/>
      <c r="O55" s="23"/>
      <c r="P55" s="27"/>
      <c r="R55" s="27"/>
    </row>
    <row r="56" spans="1:18" x14ac:dyDescent="0.25">
      <c r="A56" s="876"/>
      <c r="B56" s="4"/>
      <c r="C56" s="23"/>
      <c r="D56" s="23"/>
      <c r="E56" s="23"/>
      <c r="F56" s="23"/>
      <c r="G56" s="23"/>
      <c r="H56" s="23"/>
      <c r="I56" s="23"/>
      <c r="J56" s="23"/>
      <c r="K56" s="23"/>
      <c r="L56" s="23"/>
      <c r="M56" s="23"/>
      <c r="N56" s="27"/>
      <c r="O56" s="23"/>
      <c r="P56" s="27"/>
      <c r="R56" s="27"/>
    </row>
    <row r="57" spans="1:18" x14ac:dyDescent="0.25">
      <c r="A57" s="876"/>
      <c r="B57" s="4"/>
      <c r="C57" s="23"/>
      <c r="D57" s="23"/>
      <c r="E57" s="23"/>
      <c r="F57" s="23"/>
      <c r="G57" s="23"/>
      <c r="H57" s="23"/>
      <c r="I57" s="23"/>
      <c r="J57" s="23"/>
      <c r="K57" s="23"/>
      <c r="L57" s="23"/>
      <c r="M57" s="23"/>
      <c r="N57" s="27"/>
      <c r="O57" s="23"/>
      <c r="P57" s="27"/>
      <c r="R57" s="27"/>
    </row>
    <row r="58" spans="1:18" x14ac:dyDescent="0.25">
      <c r="A58" s="876"/>
      <c r="B58" s="4"/>
      <c r="C58" s="23"/>
      <c r="D58" s="23"/>
      <c r="E58" s="23"/>
      <c r="F58" s="23"/>
      <c r="G58" s="23"/>
      <c r="H58" s="23"/>
      <c r="I58" s="23"/>
      <c r="J58" s="23"/>
      <c r="K58" s="23"/>
      <c r="L58" s="23"/>
      <c r="M58" s="23"/>
      <c r="N58" s="27"/>
      <c r="O58" s="23"/>
      <c r="P58" s="27"/>
      <c r="R58" s="27"/>
    </row>
    <row r="59" spans="1:18" x14ac:dyDescent="0.25">
      <c r="A59" s="876"/>
      <c r="B59" s="4"/>
      <c r="C59" s="23"/>
      <c r="D59" s="23"/>
      <c r="E59" s="23"/>
      <c r="F59" s="23"/>
      <c r="G59" s="23"/>
      <c r="H59" s="23"/>
      <c r="I59" s="23"/>
      <c r="J59" s="23"/>
      <c r="K59" s="23"/>
      <c r="L59" s="23"/>
      <c r="M59" s="23"/>
      <c r="N59" s="27"/>
      <c r="O59" s="23"/>
      <c r="P59" s="27"/>
      <c r="R59" s="27"/>
    </row>
    <row r="60" spans="1:18" x14ac:dyDescent="0.25">
      <c r="A60" s="876"/>
      <c r="B60" s="4"/>
      <c r="C60" s="23"/>
      <c r="D60" s="23"/>
      <c r="E60" s="23"/>
      <c r="F60" s="23"/>
      <c r="G60" s="23"/>
      <c r="H60" s="23"/>
      <c r="I60" s="23"/>
      <c r="J60" s="23"/>
      <c r="K60" s="23"/>
      <c r="L60" s="23"/>
      <c r="M60" s="23"/>
      <c r="N60" s="27"/>
      <c r="O60" s="23"/>
      <c r="P60" s="27"/>
      <c r="R60" s="27"/>
    </row>
    <row r="61" spans="1:18" x14ac:dyDescent="0.25">
      <c r="A61" s="876"/>
      <c r="B61" s="4"/>
      <c r="C61" s="23"/>
      <c r="D61" s="23"/>
      <c r="E61" s="23"/>
      <c r="F61" s="23"/>
      <c r="G61" s="23"/>
      <c r="H61" s="23"/>
      <c r="I61" s="23"/>
      <c r="J61" s="23"/>
      <c r="K61" s="23"/>
      <c r="L61" s="23"/>
      <c r="M61" s="23"/>
      <c r="N61" s="27"/>
      <c r="O61" s="23"/>
      <c r="P61" s="27"/>
      <c r="R61" s="27"/>
    </row>
    <row r="62" spans="1:18" x14ac:dyDescent="0.25">
      <c r="A62" s="876"/>
      <c r="B62" s="4"/>
      <c r="C62" s="23"/>
      <c r="D62" s="23"/>
      <c r="E62" s="23"/>
      <c r="F62" s="23"/>
      <c r="G62" s="23"/>
      <c r="H62" s="23"/>
      <c r="I62" s="23"/>
      <c r="J62" s="23"/>
      <c r="K62" s="23"/>
      <c r="L62" s="23"/>
      <c r="M62" s="23"/>
      <c r="N62" s="27"/>
      <c r="O62" s="23"/>
      <c r="P62" s="27"/>
      <c r="R62" s="27"/>
    </row>
    <row r="63" spans="1:18" x14ac:dyDescent="0.25">
      <c r="A63" s="876"/>
      <c r="B63" s="4"/>
      <c r="C63" s="23"/>
      <c r="D63" s="23"/>
      <c r="E63" s="23"/>
      <c r="F63" s="23"/>
      <c r="G63" s="23"/>
      <c r="H63" s="23"/>
      <c r="I63" s="23"/>
      <c r="J63" s="23"/>
      <c r="K63" s="23"/>
      <c r="L63" s="23"/>
      <c r="M63" s="23"/>
      <c r="N63" s="27"/>
      <c r="O63" s="23"/>
      <c r="P63" s="27"/>
      <c r="R63" s="27"/>
    </row>
    <row r="64" spans="1:18" x14ac:dyDescent="0.25">
      <c r="A64" s="876"/>
      <c r="B64" s="4"/>
      <c r="C64" s="23"/>
      <c r="D64" s="23"/>
      <c r="E64" s="23"/>
      <c r="F64" s="23"/>
      <c r="G64" s="23"/>
      <c r="H64" s="23"/>
      <c r="I64" s="23"/>
      <c r="J64" s="23"/>
      <c r="K64" s="23"/>
      <c r="L64" s="23"/>
      <c r="M64" s="23"/>
      <c r="N64" s="27"/>
      <c r="O64" s="23"/>
      <c r="P64" s="27"/>
      <c r="R64" s="27"/>
    </row>
    <row r="65" spans="1:18" x14ac:dyDescent="0.25">
      <c r="A65" s="876"/>
      <c r="B65" s="4"/>
      <c r="C65" s="23"/>
      <c r="D65" s="23"/>
      <c r="E65" s="23"/>
      <c r="F65" s="23"/>
      <c r="G65" s="23"/>
      <c r="H65" s="23"/>
      <c r="I65" s="23"/>
      <c r="J65" s="23"/>
      <c r="K65" s="23"/>
      <c r="L65" s="23"/>
      <c r="M65" s="23"/>
      <c r="N65" s="27"/>
      <c r="O65" s="23"/>
      <c r="P65" s="27"/>
      <c r="R65" s="27"/>
    </row>
    <row r="66" spans="1:18" x14ac:dyDescent="0.25">
      <c r="A66" s="876"/>
      <c r="B66" s="4"/>
      <c r="C66" s="23"/>
      <c r="D66" s="23"/>
      <c r="E66" s="23"/>
      <c r="F66" s="23"/>
      <c r="G66" s="23"/>
      <c r="H66" s="23"/>
      <c r="I66" s="23"/>
      <c r="J66" s="23"/>
      <c r="K66" s="23"/>
      <c r="L66" s="23"/>
      <c r="M66" s="23"/>
      <c r="N66" s="27"/>
      <c r="O66" s="23"/>
      <c r="P66" s="27"/>
      <c r="R66" s="27"/>
    </row>
    <row r="67" spans="1:18" x14ac:dyDescent="0.25">
      <c r="A67" s="876"/>
      <c r="B67" s="4"/>
      <c r="C67" s="23"/>
      <c r="D67" s="23"/>
      <c r="E67" s="23"/>
      <c r="F67" s="23"/>
      <c r="G67" s="23"/>
      <c r="H67" s="23"/>
      <c r="I67" s="23"/>
      <c r="J67" s="23"/>
      <c r="K67" s="23"/>
      <c r="L67" s="23"/>
      <c r="M67" s="23"/>
      <c r="N67" s="27"/>
      <c r="O67" s="23"/>
      <c r="P67" s="27"/>
      <c r="R67" s="27"/>
    </row>
    <row r="68" spans="1:18" x14ac:dyDescent="0.25">
      <c r="A68" s="876"/>
      <c r="B68" s="4"/>
      <c r="C68" s="23"/>
      <c r="D68" s="23"/>
      <c r="E68" s="23"/>
      <c r="F68" s="23"/>
      <c r="G68" s="23"/>
      <c r="H68" s="23"/>
      <c r="I68" s="23"/>
      <c r="J68" s="23"/>
      <c r="K68" s="23"/>
      <c r="L68" s="23"/>
      <c r="M68" s="23"/>
      <c r="N68" s="27"/>
      <c r="O68" s="23"/>
      <c r="P68" s="27"/>
      <c r="R68" s="27"/>
    </row>
    <row r="69" spans="1:18" x14ac:dyDescent="0.25">
      <c r="A69" s="876"/>
      <c r="B69" s="4"/>
      <c r="C69" s="23"/>
      <c r="D69" s="23"/>
      <c r="E69" s="23"/>
      <c r="F69" s="23"/>
      <c r="G69" s="23"/>
      <c r="H69" s="23"/>
      <c r="I69" s="23"/>
      <c r="J69" s="23"/>
      <c r="K69" s="23"/>
      <c r="L69" s="23"/>
      <c r="M69" s="23"/>
      <c r="N69" s="27"/>
      <c r="O69" s="23"/>
      <c r="P69" s="27"/>
      <c r="R69" s="27"/>
    </row>
    <row r="70" spans="1:18" x14ac:dyDescent="0.25">
      <c r="A70" s="876"/>
      <c r="B70" s="4"/>
      <c r="C70" s="23"/>
      <c r="D70" s="23"/>
      <c r="E70" s="23"/>
      <c r="F70" s="23"/>
      <c r="G70" s="23"/>
      <c r="H70" s="23"/>
      <c r="I70" s="23"/>
      <c r="J70" s="23"/>
      <c r="K70" s="23"/>
      <c r="L70" s="23"/>
      <c r="M70" s="23"/>
      <c r="N70" s="27"/>
      <c r="O70" s="23"/>
      <c r="P70" s="27"/>
      <c r="R70" s="27"/>
    </row>
    <row r="71" spans="1:18" x14ac:dyDescent="0.25">
      <c r="A71" s="876"/>
      <c r="B71" s="4"/>
      <c r="C71" s="23"/>
      <c r="D71" s="23"/>
      <c r="E71" s="23"/>
      <c r="F71" s="23"/>
      <c r="G71" s="23"/>
      <c r="H71" s="23"/>
      <c r="I71" s="23"/>
      <c r="J71" s="23"/>
      <c r="K71" s="23"/>
      <c r="L71" s="23"/>
      <c r="M71" s="23"/>
      <c r="N71" s="27"/>
      <c r="O71" s="23"/>
      <c r="P71" s="27"/>
      <c r="R71" s="27"/>
    </row>
    <row r="72" spans="1:18" x14ac:dyDescent="0.25">
      <c r="A72" s="876"/>
      <c r="B72" s="4"/>
      <c r="C72" s="23"/>
      <c r="D72" s="23"/>
      <c r="E72" s="23"/>
      <c r="F72" s="23"/>
      <c r="G72" s="23"/>
      <c r="H72" s="23"/>
      <c r="I72" s="23"/>
      <c r="J72" s="23"/>
      <c r="K72" s="23"/>
      <c r="L72" s="23"/>
      <c r="M72" s="23"/>
      <c r="N72" s="4"/>
      <c r="O72" s="23"/>
      <c r="P72" s="4"/>
      <c r="R72" s="4"/>
    </row>
    <row r="73" spans="1:18" x14ac:dyDescent="0.25">
      <c r="A73" s="876"/>
      <c r="B73" s="4"/>
      <c r="C73" s="23"/>
      <c r="D73" s="23"/>
      <c r="E73" s="23"/>
      <c r="F73" s="23"/>
      <c r="G73" s="23"/>
      <c r="H73" s="23"/>
      <c r="I73" s="23"/>
      <c r="J73" s="23"/>
      <c r="K73" s="23"/>
      <c r="L73" s="23"/>
      <c r="M73" s="23"/>
      <c r="N73" s="4"/>
      <c r="O73" s="23"/>
      <c r="P73" s="4"/>
      <c r="R73" s="4"/>
    </row>
    <row r="74" spans="1:18" x14ac:dyDescent="0.25">
      <c r="A74" s="876"/>
      <c r="B74" s="4"/>
      <c r="C74" s="23"/>
      <c r="D74" s="23"/>
      <c r="E74" s="23"/>
      <c r="F74" s="23"/>
      <c r="G74" s="23"/>
      <c r="H74" s="23"/>
      <c r="I74" s="23"/>
      <c r="J74" s="23"/>
      <c r="K74" s="23"/>
      <c r="L74" s="23"/>
      <c r="M74" s="23"/>
      <c r="N74" s="4"/>
      <c r="O74" s="23"/>
      <c r="P74" s="4"/>
      <c r="R74" s="4"/>
    </row>
    <row r="75" spans="1:18" x14ac:dyDescent="0.25">
      <c r="A75" s="876"/>
      <c r="B75" s="4"/>
      <c r="C75" s="23"/>
      <c r="D75" s="23"/>
      <c r="E75" s="23"/>
      <c r="F75" s="23"/>
      <c r="G75" s="23"/>
      <c r="H75" s="23"/>
      <c r="I75" s="23"/>
      <c r="J75" s="23"/>
      <c r="K75" s="23"/>
      <c r="L75" s="23"/>
      <c r="M75" s="23"/>
      <c r="N75" s="4"/>
      <c r="O75" s="23"/>
      <c r="P75" s="4"/>
      <c r="R75" s="4"/>
    </row>
    <row r="76" spans="1:18" x14ac:dyDescent="0.25">
      <c r="A76" s="876"/>
      <c r="B76" s="4"/>
      <c r="C76" s="23"/>
      <c r="D76" s="23"/>
      <c r="E76" s="23"/>
      <c r="F76" s="23"/>
      <c r="G76" s="23"/>
      <c r="H76" s="23"/>
      <c r="I76" s="23"/>
      <c r="J76" s="23"/>
      <c r="K76" s="23"/>
      <c r="L76" s="23"/>
      <c r="M76" s="23"/>
      <c r="N76" s="4"/>
      <c r="O76" s="23"/>
      <c r="P76" s="4"/>
      <c r="R76" s="4"/>
    </row>
    <row r="77" spans="1:18" x14ac:dyDescent="0.25">
      <c r="A77" s="876"/>
      <c r="B77" s="4"/>
      <c r="C77" s="23"/>
      <c r="D77" s="23"/>
      <c r="E77" s="23"/>
      <c r="F77" s="23"/>
      <c r="G77" s="23"/>
      <c r="H77" s="23"/>
      <c r="I77" s="23"/>
      <c r="J77" s="23"/>
      <c r="K77" s="23"/>
      <c r="L77" s="23"/>
      <c r="M77" s="23"/>
      <c r="N77" s="4"/>
      <c r="O77" s="23"/>
      <c r="P77" s="4"/>
      <c r="R77" s="4"/>
    </row>
    <row r="78" spans="1:18" x14ac:dyDescent="0.25">
      <c r="A78" s="876"/>
      <c r="B78" s="4"/>
      <c r="C78" s="23"/>
      <c r="D78" s="23"/>
      <c r="E78" s="23"/>
      <c r="F78" s="23"/>
      <c r="G78" s="23"/>
      <c r="H78" s="23"/>
      <c r="I78" s="23"/>
      <c r="J78" s="23"/>
      <c r="K78" s="23"/>
      <c r="L78" s="23"/>
      <c r="M78" s="23"/>
      <c r="N78" s="4"/>
      <c r="O78" s="23"/>
      <c r="P78" s="4"/>
      <c r="R78" s="4"/>
    </row>
    <row r="79" spans="1:18" x14ac:dyDescent="0.25">
      <c r="A79" s="876"/>
      <c r="B79" s="4"/>
      <c r="C79" s="23"/>
      <c r="D79" s="23"/>
      <c r="E79" s="23"/>
      <c r="F79" s="23"/>
      <c r="G79" s="23"/>
      <c r="H79" s="23"/>
      <c r="I79" s="23"/>
      <c r="J79" s="23"/>
      <c r="K79" s="23"/>
      <c r="L79" s="23"/>
      <c r="M79" s="23"/>
      <c r="N79" s="4"/>
      <c r="O79" s="23"/>
      <c r="P79" s="4"/>
      <c r="R79" s="4"/>
    </row>
    <row r="80" spans="1:18" x14ac:dyDescent="0.25">
      <c r="A80" s="876"/>
      <c r="B80" s="4"/>
      <c r="C80" s="23"/>
      <c r="D80" s="23"/>
      <c r="E80" s="23"/>
      <c r="F80" s="23"/>
      <c r="G80" s="23"/>
      <c r="H80" s="23"/>
      <c r="I80" s="23"/>
      <c r="J80" s="23"/>
      <c r="K80" s="23"/>
      <c r="L80" s="23"/>
      <c r="M80" s="23"/>
      <c r="N80" s="4"/>
      <c r="O80" s="23"/>
      <c r="P80" s="4"/>
      <c r="R80" s="4"/>
    </row>
    <row r="81" spans="1:18" x14ac:dyDescent="0.25">
      <c r="A81" s="876"/>
      <c r="B81" s="4"/>
      <c r="C81" s="23"/>
      <c r="D81" s="23"/>
      <c r="E81" s="23"/>
      <c r="F81" s="23"/>
      <c r="G81" s="23"/>
      <c r="H81" s="23"/>
      <c r="I81" s="23"/>
      <c r="J81" s="23"/>
      <c r="K81" s="23"/>
      <c r="L81" s="23"/>
      <c r="M81" s="23"/>
      <c r="N81" s="4"/>
      <c r="O81" s="23"/>
      <c r="P81" s="4"/>
      <c r="R81" s="4"/>
    </row>
    <row r="82" spans="1:18" x14ac:dyDescent="0.25">
      <c r="A82" s="876"/>
      <c r="B82" s="4"/>
      <c r="C82" s="23"/>
      <c r="D82" s="23"/>
      <c r="E82" s="23"/>
      <c r="F82" s="23"/>
      <c r="G82" s="23"/>
      <c r="H82" s="23"/>
      <c r="I82" s="23"/>
      <c r="J82" s="23"/>
      <c r="K82" s="23"/>
      <c r="L82" s="23"/>
      <c r="M82" s="23"/>
      <c r="N82" s="4"/>
      <c r="O82" s="23"/>
      <c r="P82" s="4"/>
      <c r="R82" s="4"/>
    </row>
    <row r="83" spans="1:18" x14ac:dyDescent="0.25">
      <c r="A83" s="876"/>
      <c r="B83" s="4"/>
      <c r="C83" s="23"/>
      <c r="D83" s="23"/>
      <c r="E83" s="23"/>
      <c r="F83" s="23"/>
      <c r="G83" s="23"/>
      <c r="H83" s="23"/>
      <c r="I83" s="23"/>
      <c r="J83" s="23"/>
      <c r="K83" s="23"/>
      <c r="L83" s="23"/>
      <c r="M83" s="23"/>
      <c r="N83" s="4"/>
      <c r="O83" s="23"/>
      <c r="P83" s="4"/>
      <c r="R83" s="4"/>
    </row>
    <row r="84" spans="1:18" x14ac:dyDescent="0.25">
      <c r="A84" s="876"/>
      <c r="B84" s="4"/>
      <c r="C84" s="23"/>
      <c r="D84" s="23"/>
      <c r="E84" s="23"/>
      <c r="F84" s="23"/>
      <c r="G84" s="23"/>
      <c r="H84" s="23"/>
      <c r="I84" s="23"/>
      <c r="J84" s="23"/>
      <c r="K84" s="23"/>
      <c r="L84" s="23"/>
      <c r="M84" s="23"/>
      <c r="N84" s="4"/>
      <c r="O84" s="23"/>
      <c r="P84" s="4"/>
      <c r="R84" s="4"/>
    </row>
    <row r="85" spans="1:18" x14ac:dyDescent="0.25">
      <c r="A85" s="876"/>
      <c r="B85" s="4"/>
      <c r="C85" s="23"/>
      <c r="D85" s="23"/>
      <c r="E85" s="23"/>
      <c r="F85" s="23"/>
      <c r="G85" s="23"/>
      <c r="H85" s="23"/>
      <c r="I85" s="23"/>
      <c r="J85" s="23"/>
      <c r="K85" s="23"/>
      <c r="L85" s="23"/>
      <c r="M85" s="23"/>
      <c r="N85" s="4"/>
      <c r="O85" s="23"/>
      <c r="P85" s="4"/>
      <c r="R85" s="4"/>
    </row>
    <row r="86" spans="1:18" x14ac:dyDescent="0.25">
      <c r="A86" s="876"/>
      <c r="B86" s="4"/>
      <c r="C86" s="23"/>
      <c r="D86" s="23"/>
      <c r="E86" s="23"/>
      <c r="F86" s="23"/>
      <c r="G86" s="23"/>
      <c r="H86" s="23"/>
      <c r="I86" s="23"/>
      <c r="J86" s="23"/>
      <c r="K86" s="23"/>
      <c r="L86" s="23"/>
      <c r="M86" s="23"/>
      <c r="N86" s="4"/>
      <c r="O86" s="23"/>
      <c r="P86" s="4"/>
      <c r="R86" s="4"/>
    </row>
    <row r="87" spans="1:18" x14ac:dyDescent="0.25">
      <c r="A87" s="876"/>
      <c r="B87" s="4"/>
      <c r="C87" s="23"/>
      <c r="D87" s="23"/>
      <c r="E87" s="23"/>
      <c r="F87" s="23"/>
      <c r="G87" s="23"/>
      <c r="H87" s="23"/>
      <c r="I87" s="23"/>
      <c r="J87" s="23"/>
      <c r="K87" s="23"/>
      <c r="L87" s="23"/>
      <c r="M87" s="23"/>
      <c r="N87" s="4"/>
      <c r="O87" s="23"/>
      <c r="P87" s="4"/>
      <c r="R87" s="4"/>
    </row>
    <row r="88" spans="1:18" x14ac:dyDescent="0.25">
      <c r="A88" s="876"/>
      <c r="B88" s="4"/>
      <c r="C88" s="23"/>
      <c r="D88" s="23"/>
      <c r="E88" s="23"/>
      <c r="F88" s="23"/>
      <c r="G88" s="23"/>
      <c r="H88" s="23"/>
      <c r="I88" s="23"/>
      <c r="J88" s="23"/>
      <c r="K88" s="23"/>
      <c r="L88" s="23"/>
      <c r="M88" s="23"/>
      <c r="N88" s="4"/>
      <c r="O88" s="23"/>
      <c r="P88" s="4"/>
      <c r="R88" s="4"/>
    </row>
    <row r="89" spans="1:18" x14ac:dyDescent="0.25">
      <c r="A89" s="876"/>
      <c r="B89" s="4"/>
      <c r="C89" s="23"/>
      <c r="D89" s="23"/>
      <c r="E89" s="23"/>
      <c r="F89" s="23"/>
      <c r="G89" s="23"/>
      <c r="H89" s="23"/>
      <c r="I89" s="23"/>
      <c r="J89" s="23"/>
      <c r="K89" s="23"/>
      <c r="L89" s="23"/>
      <c r="M89" s="23"/>
      <c r="N89" s="4"/>
      <c r="O89" s="23"/>
      <c r="P89" s="4"/>
      <c r="R89" s="4"/>
    </row>
    <row r="90" spans="1:18" x14ac:dyDescent="0.25">
      <c r="A90" s="876"/>
      <c r="B90" s="4"/>
      <c r="C90" s="23"/>
      <c r="D90" s="23"/>
      <c r="E90" s="23"/>
      <c r="F90" s="23"/>
      <c r="G90" s="23"/>
      <c r="H90" s="23"/>
      <c r="I90" s="23"/>
      <c r="J90" s="23"/>
      <c r="K90" s="23"/>
      <c r="L90" s="23"/>
      <c r="M90" s="23"/>
      <c r="N90" s="4"/>
      <c r="O90" s="23"/>
      <c r="P90" s="4"/>
      <c r="R90" s="4"/>
    </row>
    <row r="91" spans="1:18" x14ac:dyDescent="0.25">
      <c r="A91" s="876"/>
      <c r="B91" s="4"/>
      <c r="C91" s="23"/>
      <c r="D91" s="23"/>
      <c r="E91" s="23"/>
      <c r="F91" s="23"/>
      <c r="G91" s="23"/>
      <c r="H91" s="23"/>
      <c r="I91" s="23"/>
      <c r="J91" s="23"/>
      <c r="K91" s="23"/>
      <c r="L91" s="23"/>
      <c r="M91" s="23"/>
      <c r="N91" s="4"/>
      <c r="O91" s="23"/>
      <c r="P91" s="4"/>
      <c r="R91" s="4"/>
    </row>
    <row r="92" spans="1:18" x14ac:dyDescent="0.25">
      <c r="A92" s="876"/>
      <c r="B92" s="4"/>
      <c r="C92" s="23"/>
      <c r="D92" s="23"/>
      <c r="E92" s="23"/>
      <c r="F92" s="23"/>
      <c r="G92" s="23"/>
      <c r="H92" s="23"/>
      <c r="I92" s="23"/>
      <c r="J92" s="23"/>
      <c r="K92" s="23"/>
      <c r="L92" s="23"/>
      <c r="M92" s="23"/>
      <c r="N92" s="4"/>
      <c r="O92" s="23"/>
      <c r="P92" s="4"/>
      <c r="R92" s="4"/>
    </row>
    <row r="93" spans="1:18" x14ac:dyDescent="0.25">
      <c r="A93" s="876"/>
      <c r="B93" s="4"/>
      <c r="C93" s="23"/>
      <c r="D93" s="23"/>
      <c r="E93" s="23"/>
      <c r="F93" s="23"/>
      <c r="G93" s="23"/>
      <c r="H93" s="23"/>
      <c r="I93" s="23"/>
      <c r="J93" s="23"/>
      <c r="K93" s="23"/>
      <c r="L93" s="23"/>
      <c r="M93" s="23"/>
      <c r="N93" s="4"/>
      <c r="O93" s="23"/>
      <c r="P93" s="4"/>
      <c r="R93" s="4"/>
    </row>
    <row r="94" spans="1:18" x14ac:dyDescent="0.25">
      <c r="A94" s="876"/>
      <c r="B94" s="4"/>
      <c r="C94" s="23"/>
      <c r="D94" s="23"/>
      <c r="E94" s="23"/>
      <c r="F94" s="23"/>
      <c r="G94" s="23"/>
      <c r="H94" s="23"/>
      <c r="I94" s="23"/>
      <c r="J94" s="23"/>
      <c r="K94" s="23"/>
      <c r="L94" s="23"/>
      <c r="M94" s="23"/>
      <c r="N94" s="4"/>
      <c r="O94" s="23"/>
      <c r="P94" s="4"/>
      <c r="R94" s="4"/>
    </row>
    <row r="95" spans="1:18" x14ac:dyDescent="0.25">
      <c r="A95" s="876"/>
      <c r="B95" s="4"/>
      <c r="C95" s="23"/>
      <c r="D95" s="23"/>
      <c r="E95" s="23"/>
      <c r="F95" s="23"/>
      <c r="G95" s="23"/>
      <c r="H95" s="23"/>
      <c r="I95" s="23"/>
      <c r="J95" s="23"/>
      <c r="K95" s="23"/>
      <c r="L95" s="23"/>
      <c r="M95" s="23"/>
      <c r="N95" s="4"/>
      <c r="O95" s="23"/>
      <c r="P95" s="4"/>
      <c r="R95" s="4"/>
    </row>
    <row r="96" spans="1:18" x14ac:dyDescent="0.25">
      <c r="A96" s="876"/>
      <c r="B96" s="4"/>
      <c r="C96" s="23"/>
      <c r="D96" s="23"/>
      <c r="E96" s="23"/>
      <c r="F96" s="23"/>
      <c r="G96" s="23"/>
      <c r="H96" s="23"/>
      <c r="I96" s="23"/>
      <c r="J96" s="23"/>
      <c r="K96" s="23"/>
      <c r="L96" s="23"/>
      <c r="M96" s="23"/>
      <c r="N96" s="4"/>
      <c r="O96" s="23"/>
      <c r="P96" s="4"/>
      <c r="R96" s="4"/>
    </row>
    <row r="97" spans="1:18" x14ac:dyDescent="0.25">
      <c r="A97" s="876"/>
      <c r="B97" s="4"/>
      <c r="C97" s="23"/>
      <c r="D97" s="23"/>
      <c r="E97" s="23"/>
      <c r="F97" s="23"/>
      <c r="G97" s="23"/>
      <c r="H97" s="23"/>
      <c r="I97" s="23"/>
      <c r="J97" s="23"/>
      <c r="K97" s="23"/>
      <c r="L97" s="23"/>
      <c r="M97" s="23"/>
      <c r="N97" s="4"/>
      <c r="O97" s="23"/>
      <c r="P97" s="4"/>
      <c r="R97" s="4"/>
    </row>
    <row r="98" spans="1:18" x14ac:dyDescent="0.25">
      <c r="A98" s="876"/>
      <c r="B98" s="4"/>
      <c r="C98" s="23"/>
      <c r="D98" s="23"/>
      <c r="E98" s="23"/>
      <c r="F98" s="23"/>
      <c r="G98" s="23"/>
      <c r="H98" s="23"/>
      <c r="I98" s="23"/>
      <c r="J98" s="23"/>
      <c r="K98" s="23"/>
      <c r="L98" s="23"/>
      <c r="M98" s="23"/>
      <c r="N98" s="4"/>
      <c r="O98" s="23"/>
      <c r="P98" s="4"/>
      <c r="R98" s="4"/>
    </row>
    <row r="99" spans="1:18" x14ac:dyDescent="0.25">
      <c r="A99" s="876"/>
      <c r="B99" s="4"/>
      <c r="C99" s="23"/>
      <c r="D99" s="23"/>
      <c r="E99" s="23"/>
      <c r="F99" s="23"/>
      <c r="G99" s="23"/>
      <c r="H99" s="23"/>
      <c r="I99" s="23"/>
      <c r="J99" s="23"/>
      <c r="K99" s="23"/>
      <c r="L99" s="23"/>
      <c r="M99" s="23"/>
      <c r="N99" s="4"/>
      <c r="O99" s="23"/>
      <c r="P99" s="4"/>
      <c r="R99" s="4"/>
    </row>
    <row r="100" spans="1:18" x14ac:dyDescent="0.25">
      <c r="A100" s="876"/>
      <c r="B100" s="4"/>
      <c r="C100" s="23"/>
      <c r="D100" s="23"/>
      <c r="E100" s="23"/>
      <c r="F100" s="23"/>
      <c r="G100" s="23"/>
      <c r="H100" s="23"/>
      <c r="I100" s="23"/>
      <c r="J100" s="23"/>
      <c r="K100" s="23"/>
      <c r="L100" s="23"/>
      <c r="M100" s="23"/>
      <c r="N100" s="4"/>
      <c r="O100" s="23"/>
      <c r="P100" s="4"/>
      <c r="R100" s="4"/>
    </row>
    <row r="101" spans="1:18" x14ac:dyDescent="0.25">
      <c r="A101" s="876"/>
      <c r="B101" s="4"/>
      <c r="C101" s="23"/>
      <c r="D101" s="23"/>
      <c r="E101" s="23"/>
      <c r="F101" s="23"/>
      <c r="G101" s="23"/>
      <c r="H101" s="23"/>
      <c r="I101" s="23"/>
      <c r="J101" s="23"/>
      <c r="K101" s="23"/>
      <c r="L101" s="23"/>
      <c r="M101" s="23"/>
      <c r="N101" s="4"/>
      <c r="O101" s="23"/>
      <c r="P101" s="4"/>
      <c r="R101" s="4"/>
    </row>
    <row r="102" spans="1:18" x14ac:dyDescent="0.25">
      <c r="A102" s="876"/>
      <c r="B102" s="4"/>
      <c r="C102" s="23"/>
      <c r="D102" s="23"/>
      <c r="E102" s="23"/>
      <c r="F102" s="23"/>
      <c r="G102" s="23"/>
      <c r="H102" s="23"/>
      <c r="I102" s="23"/>
      <c r="J102" s="23"/>
      <c r="K102" s="23"/>
      <c r="L102" s="23"/>
      <c r="M102" s="23"/>
      <c r="N102" s="4"/>
      <c r="O102" s="23"/>
      <c r="P102" s="4"/>
      <c r="R102" s="4"/>
    </row>
    <row r="103" spans="1:18" x14ac:dyDescent="0.25">
      <c r="A103" s="876"/>
      <c r="B103" s="4"/>
      <c r="C103" s="23"/>
      <c r="D103" s="23"/>
      <c r="E103" s="23"/>
      <c r="F103" s="23"/>
      <c r="G103" s="23"/>
      <c r="H103" s="23"/>
      <c r="I103" s="23"/>
      <c r="J103" s="23"/>
      <c r="K103" s="23"/>
      <c r="L103" s="23"/>
      <c r="M103" s="23"/>
      <c r="N103" s="4"/>
      <c r="O103" s="23"/>
      <c r="P103" s="4"/>
      <c r="R103" s="4"/>
    </row>
    <row r="104" spans="1:18" x14ac:dyDescent="0.25">
      <c r="A104" s="876"/>
      <c r="B104" s="4"/>
      <c r="C104" s="23"/>
      <c r="D104" s="23"/>
      <c r="E104" s="23"/>
      <c r="F104" s="23"/>
      <c r="G104" s="23"/>
      <c r="H104" s="23"/>
      <c r="I104" s="23"/>
      <c r="J104" s="23"/>
      <c r="K104" s="23"/>
      <c r="L104" s="23"/>
      <c r="M104" s="23"/>
      <c r="N104" s="4"/>
      <c r="O104" s="23"/>
      <c r="P104" s="4"/>
      <c r="R104" s="4"/>
    </row>
    <row r="105" spans="1:18" x14ac:dyDescent="0.25">
      <c r="A105" s="876"/>
      <c r="B105" s="4"/>
      <c r="C105" s="23"/>
      <c r="D105" s="23"/>
      <c r="E105" s="23"/>
      <c r="F105" s="23"/>
      <c r="G105" s="23"/>
      <c r="H105" s="23"/>
      <c r="I105" s="23"/>
      <c r="J105" s="23"/>
      <c r="K105" s="23"/>
      <c r="L105" s="23"/>
      <c r="M105" s="23"/>
      <c r="N105" s="4"/>
      <c r="O105" s="23"/>
      <c r="P105" s="4"/>
      <c r="R105" s="4"/>
    </row>
    <row r="106" spans="1:18" x14ac:dyDescent="0.25">
      <c r="A106" s="876"/>
      <c r="B106" s="4"/>
      <c r="C106" s="23"/>
      <c r="D106" s="23"/>
      <c r="E106" s="23"/>
      <c r="F106" s="23"/>
      <c r="G106" s="23"/>
      <c r="H106" s="23"/>
      <c r="I106" s="23"/>
      <c r="J106" s="23"/>
      <c r="K106" s="23"/>
      <c r="L106" s="23"/>
      <c r="M106" s="23"/>
      <c r="N106" s="4"/>
      <c r="O106" s="23"/>
      <c r="P106" s="4"/>
      <c r="R106" s="4"/>
    </row>
    <row r="107" spans="1:18" x14ac:dyDescent="0.25">
      <c r="A107" s="876"/>
      <c r="B107" s="4"/>
      <c r="C107" s="23"/>
      <c r="D107" s="23"/>
      <c r="E107" s="23"/>
      <c r="F107" s="23"/>
      <c r="G107" s="23"/>
      <c r="H107" s="23"/>
      <c r="I107" s="23"/>
      <c r="J107" s="23"/>
      <c r="K107" s="23"/>
      <c r="L107" s="23"/>
      <c r="M107" s="23"/>
      <c r="N107" s="4"/>
      <c r="O107" s="23"/>
      <c r="P107" s="4"/>
      <c r="R107" s="4"/>
    </row>
    <row r="108" spans="1:18" x14ac:dyDescent="0.25">
      <c r="A108" s="876"/>
      <c r="B108" s="4"/>
      <c r="C108" s="23"/>
      <c r="D108" s="23"/>
      <c r="E108" s="23"/>
      <c r="F108" s="23"/>
      <c r="G108" s="23"/>
      <c r="H108" s="23"/>
      <c r="I108" s="23"/>
      <c r="J108" s="23"/>
      <c r="K108" s="23"/>
      <c r="L108" s="23"/>
      <c r="M108" s="23"/>
      <c r="N108" s="4"/>
      <c r="O108" s="23"/>
      <c r="P108" s="4"/>
      <c r="R108" s="4"/>
    </row>
    <row r="109" spans="1:18" x14ac:dyDescent="0.25">
      <c r="A109" s="876"/>
      <c r="B109" s="4"/>
      <c r="C109" s="23"/>
      <c r="D109" s="23"/>
      <c r="E109" s="23"/>
      <c r="F109" s="23"/>
      <c r="G109" s="23"/>
      <c r="H109" s="23"/>
      <c r="I109" s="23"/>
      <c r="J109" s="23"/>
      <c r="K109" s="23"/>
      <c r="L109" s="23"/>
      <c r="M109" s="23"/>
      <c r="N109" s="4"/>
      <c r="O109" s="23"/>
      <c r="P109" s="4"/>
      <c r="R109" s="4"/>
    </row>
    <row r="110" spans="1:18" x14ac:dyDescent="0.25">
      <c r="A110" s="876"/>
      <c r="B110" s="4"/>
      <c r="C110" s="23"/>
      <c r="D110" s="23"/>
      <c r="E110" s="23"/>
      <c r="F110" s="23"/>
      <c r="G110" s="23"/>
      <c r="H110" s="23"/>
      <c r="I110" s="23"/>
      <c r="J110" s="23"/>
      <c r="K110" s="23"/>
      <c r="L110" s="23"/>
      <c r="M110" s="23"/>
      <c r="N110" s="4"/>
      <c r="O110" s="23"/>
      <c r="P110" s="4"/>
      <c r="R110" s="4"/>
    </row>
    <row r="111" spans="1:18" x14ac:dyDescent="0.25">
      <c r="A111" s="876"/>
      <c r="B111" s="4"/>
      <c r="C111" s="23"/>
      <c r="D111" s="23"/>
      <c r="E111" s="23"/>
      <c r="F111" s="23"/>
      <c r="G111" s="23"/>
      <c r="H111" s="23"/>
      <c r="I111" s="23"/>
      <c r="J111" s="23"/>
      <c r="K111" s="23"/>
      <c r="L111" s="23"/>
      <c r="M111" s="23"/>
      <c r="N111" s="4"/>
      <c r="O111" s="23"/>
      <c r="P111" s="4"/>
      <c r="R111" s="4"/>
    </row>
    <row r="112" spans="1:18" x14ac:dyDescent="0.25">
      <c r="A112" s="876"/>
      <c r="B112" s="4"/>
      <c r="C112" s="23"/>
      <c r="D112" s="23"/>
      <c r="E112" s="23"/>
      <c r="F112" s="23"/>
      <c r="G112" s="23"/>
      <c r="H112" s="23"/>
      <c r="I112" s="23"/>
      <c r="J112" s="23"/>
      <c r="K112" s="23"/>
      <c r="L112" s="23"/>
      <c r="M112" s="23"/>
      <c r="N112" s="4"/>
      <c r="O112" s="23"/>
      <c r="P112" s="4"/>
      <c r="R112" s="4"/>
    </row>
    <row r="113" spans="1:18" x14ac:dyDescent="0.25">
      <c r="A113" s="876"/>
      <c r="B113" s="4"/>
      <c r="C113" s="23"/>
      <c r="D113" s="23"/>
      <c r="E113" s="23"/>
      <c r="F113" s="23"/>
      <c r="G113" s="23"/>
      <c r="H113" s="23"/>
      <c r="I113" s="23"/>
      <c r="J113" s="23"/>
      <c r="K113" s="23"/>
      <c r="L113" s="23"/>
      <c r="M113" s="23"/>
      <c r="N113" s="4"/>
      <c r="O113" s="23"/>
      <c r="P113" s="4"/>
      <c r="R113" s="4"/>
    </row>
    <row r="114" spans="1:18" x14ac:dyDescent="0.25">
      <c r="A114" s="876"/>
      <c r="B114" s="4"/>
      <c r="C114" s="23"/>
      <c r="D114" s="23"/>
      <c r="E114" s="23"/>
      <c r="F114" s="23"/>
      <c r="G114" s="23"/>
      <c r="H114" s="23"/>
      <c r="I114" s="23"/>
      <c r="J114" s="23"/>
      <c r="K114" s="23"/>
      <c r="L114" s="23"/>
      <c r="M114" s="23"/>
      <c r="N114" s="4"/>
      <c r="O114" s="23"/>
      <c r="P114" s="4"/>
      <c r="R114" s="4"/>
    </row>
    <row r="115" spans="1:18" x14ac:dyDescent="0.25">
      <c r="A115" s="876"/>
      <c r="B115" s="4"/>
      <c r="C115" s="23"/>
      <c r="D115" s="23"/>
      <c r="E115" s="23"/>
      <c r="F115" s="23"/>
      <c r="G115" s="23"/>
      <c r="H115" s="23"/>
      <c r="I115" s="23"/>
      <c r="J115" s="23"/>
      <c r="K115" s="23"/>
      <c r="L115" s="23"/>
      <c r="M115" s="23"/>
      <c r="N115" s="4"/>
      <c r="O115" s="23"/>
      <c r="P115" s="4"/>
      <c r="R115" s="4"/>
    </row>
    <row r="116" spans="1:18" x14ac:dyDescent="0.25">
      <c r="A116" s="876"/>
      <c r="B116" s="4"/>
      <c r="C116" s="23"/>
      <c r="D116" s="23"/>
      <c r="E116" s="23"/>
      <c r="F116" s="23"/>
      <c r="G116" s="23"/>
      <c r="H116" s="23"/>
      <c r="I116" s="23"/>
      <c r="J116" s="23"/>
      <c r="K116" s="23"/>
      <c r="L116" s="23"/>
      <c r="M116" s="23"/>
      <c r="N116" s="4"/>
      <c r="O116" s="23"/>
      <c r="P116" s="4"/>
      <c r="R116" s="4"/>
    </row>
    <row r="117" spans="1:18" x14ac:dyDescent="0.25">
      <c r="A117" s="876"/>
      <c r="B117" s="4"/>
      <c r="C117" s="23"/>
      <c r="D117" s="23"/>
      <c r="E117" s="23"/>
      <c r="F117" s="23"/>
      <c r="G117" s="23"/>
      <c r="H117" s="23"/>
      <c r="I117" s="23"/>
      <c r="J117" s="23"/>
      <c r="K117" s="23"/>
      <c r="L117" s="23"/>
      <c r="M117" s="23"/>
      <c r="N117" s="4"/>
      <c r="O117" s="23"/>
      <c r="P117" s="4"/>
      <c r="R117" s="4"/>
    </row>
    <row r="118" spans="1:18" x14ac:dyDescent="0.25">
      <c r="A118" s="876"/>
      <c r="B118" s="4"/>
      <c r="C118" s="23"/>
      <c r="D118" s="23"/>
      <c r="E118" s="23"/>
      <c r="F118" s="23"/>
      <c r="G118" s="23"/>
      <c r="H118" s="23"/>
      <c r="I118" s="23"/>
      <c r="J118" s="23"/>
      <c r="K118" s="23"/>
      <c r="L118" s="23"/>
      <c r="M118" s="23"/>
      <c r="N118" s="4"/>
      <c r="O118" s="23"/>
      <c r="P118" s="4"/>
      <c r="R118" s="4"/>
    </row>
    <row r="119" spans="1:18" x14ac:dyDescent="0.25">
      <c r="A119" s="876"/>
      <c r="B119" s="4"/>
      <c r="C119" s="23"/>
      <c r="D119" s="23"/>
      <c r="E119" s="23"/>
      <c r="F119" s="23"/>
      <c r="G119" s="23"/>
      <c r="H119" s="23"/>
      <c r="I119" s="23"/>
      <c r="J119" s="23"/>
      <c r="K119" s="23"/>
      <c r="L119" s="23"/>
      <c r="M119" s="23"/>
      <c r="N119" s="4"/>
      <c r="O119" s="23"/>
      <c r="P119" s="4"/>
      <c r="R119" s="4"/>
    </row>
    <row r="120" spans="1:18" x14ac:dyDescent="0.25">
      <c r="A120" s="876"/>
      <c r="B120" s="4"/>
      <c r="C120" s="23"/>
      <c r="D120" s="23"/>
      <c r="E120" s="23"/>
      <c r="F120" s="23"/>
      <c r="G120" s="23"/>
      <c r="H120" s="23"/>
      <c r="I120" s="23"/>
      <c r="J120" s="23"/>
      <c r="K120" s="23"/>
      <c r="L120" s="23"/>
      <c r="M120" s="23"/>
      <c r="N120" s="4"/>
      <c r="O120" s="23"/>
      <c r="P120" s="4"/>
      <c r="R120" s="4"/>
    </row>
    <row r="121" spans="1:18" x14ac:dyDescent="0.25">
      <c r="A121" s="876"/>
      <c r="B121" s="4"/>
      <c r="C121" s="23"/>
      <c r="D121" s="23"/>
      <c r="E121" s="23"/>
      <c r="F121" s="23"/>
      <c r="G121" s="23"/>
      <c r="H121" s="23"/>
      <c r="I121" s="23"/>
      <c r="J121" s="23"/>
      <c r="K121" s="23"/>
      <c r="L121" s="23"/>
      <c r="M121" s="23"/>
      <c r="N121" s="4"/>
      <c r="O121" s="23"/>
      <c r="P121" s="4"/>
      <c r="R121" s="4"/>
    </row>
    <row r="122" spans="1:18" x14ac:dyDescent="0.25">
      <c r="A122" s="876"/>
      <c r="B122" s="4"/>
      <c r="C122" s="23"/>
      <c r="D122" s="23"/>
      <c r="E122" s="23"/>
      <c r="F122" s="23"/>
      <c r="G122" s="23"/>
      <c r="H122" s="23"/>
      <c r="I122" s="23"/>
      <c r="J122" s="23"/>
      <c r="K122" s="23"/>
      <c r="L122" s="23"/>
      <c r="M122" s="23"/>
      <c r="N122" s="4"/>
      <c r="O122" s="23"/>
      <c r="P122" s="4"/>
      <c r="R122" s="4"/>
    </row>
    <row r="123" spans="1:18" x14ac:dyDescent="0.25">
      <c r="A123" s="876"/>
      <c r="B123" s="4"/>
      <c r="C123" s="23"/>
      <c r="D123" s="23"/>
      <c r="E123" s="23"/>
      <c r="F123" s="23"/>
      <c r="G123" s="23"/>
      <c r="H123" s="23"/>
      <c r="I123" s="23"/>
      <c r="J123" s="23"/>
      <c r="K123" s="23"/>
      <c r="L123" s="23"/>
      <c r="M123" s="23"/>
      <c r="N123" s="4"/>
      <c r="O123" s="23"/>
      <c r="P123" s="4"/>
      <c r="R123" s="4"/>
    </row>
    <row r="124" spans="1:18" x14ac:dyDescent="0.25">
      <c r="A124" s="876"/>
      <c r="B124" s="4"/>
      <c r="C124" s="23"/>
      <c r="D124" s="23"/>
      <c r="E124" s="23"/>
      <c r="F124" s="23"/>
      <c r="G124" s="23"/>
      <c r="H124" s="23"/>
      <c r="I124" s="23"/>
      <c r="J124" s="23"/>
      <c r="K124" s="23"/>
      <c r="L124" s="23"/>
      <c r="M124" s="23"/>
      <c r="N124" s="4"/>
      <c r="O124" s="23"/>
      <c r="P124" s="4"/>
      <c r="R124" s="4"/>
    </row>
    <row r="125" spans="1:18" x14ac:dyDescent="0.25">
      <c r="A125" s="876"/>
      <c r="B125" s="4"/>
      <c r="C125" s="23"/>
      <c r="D125" s="23"/>
      <c r="E125" s="23"/>
      <c r="F125" s="23"/>
      <c r="G125" s="23"/>
      <c r="H125" s="23"/>
      <c r="I125" s="23"/>
      <c r="J125" s="23"/>
      <c r="K125" s="23"/>
      <c r="L125" s="23"/>
      <c r="M125" s="23"/>
      <c r="N125" s="4"/>
      <c r="O125" s="23"/>
      <c r="P125" s="4"/>
      <c r="R125" s="4"/>
    </row>
    <row r="126" spans="1:18" x14ac:dyDescent="0.25">
      <c r="A126" s="876"/>
      <c r="B126" s="4"/>
      <c r="C126" s="23"/>
      <c r="D126" s="23"/>
      <c r="E126" s="23"/>
      <c r="F126" s="23"/>
      <c r="G126" s="23"/>
      <c r="H126" s="23"/>
      <c r="I126" s="23"/>
      <c r="J126" s="23"/>
      <c r="K126" s="23"/>
      <c r="L126" s="23"/>
      <c r="M126" s="23"/>
      <c r="N126" s="4"/>
      <c r="O126" s="23"/>
      <c r="P126" s="4"/>
      <c r="R126" s="4"/>
    </row>
    <row r="127" spans="1:18" x14ac:dyDescent="0.25">
      <c r="A127" s="876"/>
      <c r="B127" s="4"/>
      <c r="C127" s="23"/>
      <c r="D127" s="23"/>
      <c r="E127" s="23"/>
      <c r="F127" s="23"/>
      <c r="G127" s="23"/>
      <c r="H127" s="23"/>
      <c r="I127" s="23"/>
      <c r="J127" s="23"/>
      <c r="K127" s="23"/>
      <c r="L127" s="23"/>
      <c r="M127" s="23"/>
      <c r="N127" s="4"/>
      <c r="O127" s="23"/>
      <c r="P127" s="4"/>
      <c r="R127" s="4"/>
    </row>
    <row r="128" spans="1:18" x14ac:dyDescent="0.25">
      <c r="A128" s="876"/>
      <c r="B128" s="4"/>
      <c r="C128" s="23"/>
      <c r="D128" s="23"/>
      <c r="E128" s="23"/>
      <c r="F128" s="23"/>
      <c r="G128" s="23"/>
      <c r="H128" s="23"/>
      <c r="I128" s="23"/>
      <c r="J128" s="23"/>
      <c r="K128" s="23"/>
      <c r="L128" s="23"/>
      <c r="M128" s="23"/>
      <c r="N128" s="4"/>
      <c r="O128" s="23"/>
      <c r="P128" s="4"/>
      <c r="R128" s="4"/>
    </row>
    <row r="129" spans="1:18" x14ac:dyDescent="0.25">
      <c r="A129" s="876"/>
      <c r="B129" s="4"/>
      <c r="C129" s="23"/>
      <c r="D129" s="23"/>
      <c r="E129" s="23"/>
      <c r="F129" s="23"/>
      <c r="G129" s="23"/>
      <c r="H129" s="23"/>
      <c r="I129" s="23"/>
      <c r="J129" s="23"/>
      <c r="K129" s="23"/>
      <c r="L129" s="23"/>
      <c r="M129" s="23"/>
      <c r="N129" s="4"/>
      <c r="O129" s="23"/>
      <c r="P129" s="4"/>
      <c r="R129" s="4"/>
    </row>
    <row r="130" spans="1:18" x14ac:dyDescent="0.25">
      <c r="A130" s="876"/>
      <c r="B130" s="4"/>
      <c r="C130" s="23"/>
      <c r="D130" s="23"/>
      <c r="E130" s="23"/>
      <c r="F130" s="23"/>
      <c r="G130" s="23"/>
      <c r="H130" s="23"/>
      <c r="I130" s="23"/>
      <c r="J130" s="23"/>
      <c r="K130" s="23"/>
      <c r="L130" s="23"/>
      <c r="M130" s="23"/>
      <c r="N130" s="4"/>
      <c r="O130" s="23"/>
      <c r="P130" s="4"/>
      <c r="R130" s="4"/>
    </row>
    <row r="131" spans="1:18" x14ac:dyDescent="0.25">
      <c r="A131" s="876"/>
      <c r="B131" s="4"/>
      <c r="C131" s="23"/>
      <c r="D131" s="23"/>
      <c r="E131" s="23"/>
      <c r="F131" s="23"/>
      <c r="G131" s="23"/>
      <c r="H131" s="23"/>
      <c r="I131" s="23"/>
      <c r="J131" s="23"/>
      <c r="K131" s="23"/>
      <c r="L131" s="23"/>
      <c r="M131" s="23"/>
      <c r="N131" s="4"/>
      <c r="O131" s="23"/>
      <c r="P131" s="4"/>
      <c r="R131" s="4"/>
    </row>
    <row r="132" spans="1:18" x14ac:dyDescent="0.25">
      <c r="A132" s="876"/>
      <c r="B132" s="4"/>
      <c r="C132" s="23"/>
      <c r="D132" s="23"/>
      <c r="E132" s="23"/>
      <c r="F132" s="23"/>
      <c r="G132" s="23"/>
      <c r="H132" s="23"/>
      <c r="I132" s="23"/>
      <c r="J132" s="23"/>
      <c r="K132" s="23"/>
      <c r="L132" s="23"/>
      <c r="M132" s="23"/>
      <c r="N132" s="4"/>
      <c r="O132" s="23"/>
      <c r="P132" s="4"/>
      <c r="R132" s="4"/>
    </row>
    <row r="133" spans="1:18" x14ac:dyDescent="0.25">
      <c r="A133" s="876"/>
      <c r="B133" s="4"/>
      <c r="C133" s="23"/>
      <c r="D133" s="23"/>
      <c r="E133" s="23"/>
      <c r="F133" s="23"/>
      <c r="G133" s="23"/>
      <c r="H133" s="23"/>
      <c r="I133" s="23"/>
      <c r="J133" s="23"/>
      <c r="K133" s="23"/>
      <c r="L133" s="23"/>
      <c r="M133" s="23"/>
      <c r="N133" s="4"/>
      <c r="O133" s="23"/>
      <c r="P133" s="4"/>
      <c r="R133" s="4"/>
    </row>
    <row r="134" spans="1:18" x14ac:dyDescent="0.25">
      <c r="A134" s="876"/>
      <c r="B134" s="4"/>
      <c r="C134" s="23"/>
      <c r="D134" s="23"/>
      <c r="E134" s="23"/>
      <c r="F134" s="23"/>
      <c r="G134" s="23"/>
      <c r="H134" s="23"/>
      <c r="I134" s="23"/>
      <c r="J134" s="23"/>
      <c r="K134" s="23"/>
      <c r="L134" s="23"/>
      <c r="M134" s="23"/>
      <c r="N134" s="4"/>
      <c r="O134" s="23"/>
      <c r="P134" s="4"/>
      <c r="R134" s="4"/>
    </row>
    <row r="135" spans="1:18" x14ac:dyDescent="0.25">
      <c r="A135" s="876"/>
      <c r="B135" s="4"/>
      <c r="C135" s="23"/>
      <c r="D135" s="23"/>
      <c r="E135" s="23"/>
      <c r="F135" s="23"/>
      <c r="G135" s="23"/>
      <c r="H135" s="23"/>
      <c r="I135" s="23"/>
      <c r="J135" s="23"/>
      <c r="K135" s="23"/>
      <c r="L135" s="23"/>
      <c r="M135" s="23"/>
      <c r="N135" s="4"/>
      <c r="O135" s="23"/>
      <c r="P135" s="4"/>
      <c r="R135" s="4"/>
    </row>
    <row r="136" spans="1:18" x14ac:dyDescent="0.25">
      <c r="A136" s="876"/>
      <c r="B136" s="4"/>
      <c r="C136" s="23"/>
      <c r="D136" s="23"/>
      <c r="E136" s="23"/>
      <c r="F136" s="23"/>
      <c r="G136" s="23"/>
      <c r="H136" s="23"/>
      <c r="I136" s="23"/>
      <c r="J136" s="23"/>
      <c r="K136" s="23"/>
      <c r="L136" s="23"/>
      <c r="M136" s="23"/>
      <c r="N136" s="4"/>
      <c r="O136" s="23"/>
      <c r="P136" s="4"/>
      <c r="R136" s="4"/>
    </row>
    <row r="137" spans="1:18" x14ac:dyDescent="0.25">
      <c r="A137" s="876"/>
      <c r="B137" s="4"/>
      <c r="C137" s="23"/>
      <c r="D137" s="23"/>
      <c r="E137" s="23"/>
      <c r="F137" s="23"/>
      <c r="G137" s="23"/>
      <c r="H137" s="23"/>
      <c r="I137" s="23"/>
      <c r="J137" s="23"/>
      <c r="K137" s="23"/>
      <c r="L137" s="23"/>
      <c r="M137" s="23"/>
      <c r="N137" s="4"/>
      <c r="O137" s="23"/>
      <c r="P137" s="4"/>
      <c r="R137" s="4"/>
    </row>
    <row r="138" spans="1:18" x14ac:dyDescent="0.25">
      <c r="A138" s="876"/>
      <c r="B138" s="4"/>
      <c r="C138" s="23"/>
      <c r="D138" s="23"/>
      <c r="E138" s="23"/>
      <c r="F138" s="23"/>
      <c r="G138" s="23"/>
      <c r="H138" s="23"/>
      <c r="I138" s="23"/>
      <c r="J138" s="23"/>
      <c r="K138" s="23"/>
      <c r="L138" s="23"/>
      <c r="M138" s="23"/>
      <c r="N138" s="4"/>
      <c r="O138" s="23"/>
      <c r="P138" s="4"/>
      <c r="R138" s="4"/>
    </row>
    <row r="139" spans="1:18" x14ac:dyDescent="0.25">
      <c r="C139" s="114"/>
    </row>
    <row r="140" spans="1:18" x14ac:dyDescent="0.25">
      <c r="C140" s="114"/>
    </row>
    <row r="141" spans="1:18" x14ac:dyDescent="0.25">
      <c r="C141" s="114"/>
    </row>
    <row r="142" spans="1:18" x14ac:dyDescent="0.25">
      <c r="C142" s="114"/>
    </row>
    <row r="143" spans="1:18" x14ac:dyDescent="0.25">
      <c r="C143" s="114"/>
    </row>
    <row r="144" spans="1:18" x14ac:dyDescent="0.25">
      <c r="C144" s="114"/>
    </row>
    <row r="145" spans="3:3" x14ac:dyDescent="0.25">
      <c r="C145" s="114"/>
    </row>
    <row r="146" spans="3:3" x14ac:dyDescent="0.25">
      <c r="C146" s="114"/>
    </row>
    <row r="147" spans="3:3" x14ac:dyDescent="0.25">
      <c r="C147" s="114"/>
    </row>
    <row r="148" spans="3:3" x14ac:dyDescent="0.25">
      <c r="C148" s="114"/>
    </row>
    <row r="149" spans="3:3" x14ac:dyDescent="0.25">
      <c r="C149" s="114"/>
    </row>
    <row r="150" spans="3:3" x14ac:dyDescent="0.25">
      <c r="C150" s="114"/>
    </row>
    <row r="151" spans="3:3" x14ac:dyDescent="0.25">
      <c r="C151" s="114"/>
    </row>
    <row r="152" spans="3:3" x14ac:dyDescent="0.25">
      <c r="C152" s="114"/>
    </row>
    <row r="153" spans="3:3" x14ac:dyDescent="0.25">
      <c r="C153" s="114"/>
    </row>
    <row r="154" spans="3:3" x14ac:dyDescent="0.25">
      <c r="C154" s="114"/>
    </row>
    <row r="155" spans="3:3" x14ac:dyDescent="0.25">
      <c r="C155" s="114"/>
    </row>
    <row r="156" spans="3:3" x14ac:dyDescent="0.25">
      <c r="C156" s="114"/>
    </row>
    <row r="157" spans="3:3" x14ac:dyDescent="0.25">
      <c r="C157" s="114"/>
    </row>
    <row r="158" spans="3:3" x14ac:dyDescent="0.25">
      <c r="C158" s="114"/>
    </row>
    <row r="159" spans="3:3" x14ac:dyDescent="0.25">
      <c r="C159" s="114"/>
    </row>
    <row r="160" spans="3:3" x14ac:dyDescent="0.25">
      <c r="C160" s="114"/>
    </row>
    <row r="161" spans="3:3" x14ac:dyDescent="0.25">
      <c r="C161" s="114"/>
    </row>
    <row r="162" spans="3:3" x14ac:dyDescent="0.25">
      <c r="C162" s="114"/>
    </row>
    <row r="163" spans="3:3" x14ac:dyDescent="0.25">
      <c r="C163" s="114"/>
    </row>
    <row r="164" spans="3:3" x14ac:dyDescent="0.25">
      <c r="C164" s="114"/>
    </row>
    <row r="165" spans="3:3" x14ac:dyDescent="0.25">
      <c r="C165" s="114"/>
    </row>
    <row r="166" spans="3:3" x14ac:dyDescent="0.25">
      <c r="C166" s="114"/>
    </row>
    <row r="167" spans="3:3" x14ac:dyDescent="0.25">
      <c r="C167" s="114"/>
    </row>
    <row r="168" spans="3:3" x14ac:dyDescent="0.25">
      <c r="C168" s="114"/>
    </row>
    <row r="169" spans="3:3" x14ac:dyDescent="0.25">
      <c r="C169" s="114"/>
    </row>
    <row r="170" spans="3:3" x14ac:dyDescent="0.25">
      <c r="C170" s="114"/>
    </row>
    <row r="171" spans="3:3" x14ac:dyDescent="0.25">
      <c r="C171" s="114"/>
    </row>
    <row r="172" spans="3:3" x14ac:dyDescent="0.25">
      <c r="C172" s="114"/>
    </row>
    <row r="173" spans="3:3" x14ac:dyDescent="0.25">
      <c r="C173" s="114"/>
    </row>
    <row r="174" spans="3:3" x14ac:dyDescent="0.25">
      <c r="C174" s="114"/>
    </row>
    <row r="175" spans="3:3" x14ac:dyDescent="0.25">
      <c r="C175" s="114"/>
    </row>
    <row r="176" spans="3:3" x14ac:dyDescent="0.25">
      <c r="C176" s="114"/>
    </row>
    <row r="177" spans="3:3" x14ac:dyDescent="0.25">
      <c r="C177" s="114"/>
    </row>
    <row r="178" spans="3:3" x14ac:dyDescent="0.25">
      <c r="C178" s="114"/>
    </row>
    <row r="179" spans="3:3" x14ac:dyDescent="0.25">
      <c r="C179" s="114"/>
    </row>
    <row r="180" spans="3:3" x14ac:dyDescent="0.25">
      <c r="C180" s="114"/>
    </row>
    <row r="181" spans="3:3" x14ac:dyDescent="0.25">
      <c r="C181" s="114"/>
    </row>
    <row r="182" spans="3:3" x14ac:dyDescent="0.25">
      <c r="C182" s="114"/>
    </row>
    <row r="183" spans="3:3" x14ac:dyDescent="0.25">
      <c r="C183" s="114"/>
    </row>
    <row r="184" spans="3:3" x14ac:dyDescent="0.25">
      <c r="C184" s="114"/>
    </row>
    <row r="185" spans="3:3" x14ac:dyDescent="0.25">
      <c r="C185" s="114"/>
    </row>
    <row r="186" spans="3:3" x14ac:dyDescent="0.25">
      <c r="C186" s="114"/>
    </row>
    <row r="187" spans="3:3" x14ac:dyDescent="0.25">
      <c r="C187" s="114"/>
    </row>
    <row r="188" spans="3:3" x14ac:dyDescent="0.25">
      <c r="C188" s="114"/>
    </row>
    <row r="189" spans="3:3" x14ac:dyDescent="0.25">
      <c r="C189" s="114"/>
    </row>
    <row r="190" spans="3:3" x14ac:dyDescent="0.25">
      <c r="C190" s="114"/>
    </row>
    <row r="191" spans="3:3" x14ac:dyDescent="0.25">
      <c r="C191" s="114"/>
    </row>
  </sheetData>
  <phoneticPr fontId="0" type="noConversion"/>
  <hyperlinks>
    <hyperlink ref="A1" location="'Working Budget with funding det'!A1" display="Main" xr:uid="{00000000-0004-0000-0A00-000000000000}"/>
    <hyperlink ref="B1" location="'Table of Contents'!A1" display="TOC" xr:uid="{00000000-0004-0000-0A00-000001000000}"/>
  </hyperlinks>
  <pageMargins left="0.75" right="0.75" top="1" bottom="1" header="0.5" footer="0.5"/>
  <pageSetup scale="94" orientation="landscape" r:id="rId1"/>
  <headerFooter alignWithMargins="0">
    <oddFooter xml:space="preserve">&amp;L&amp;D     &amp;T&amp;C&amp;F&amp;R&amp;A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U163"/>
  <sheetViews>
    <sheetView zoomScaleNormal="100" workbookViewId="0">
      <pane ySplit="7" topLeftCell="A36" activePane="bottomLeft" state="frozen"/>
      <selection activeCell="P7" sqref="P7"/>
      <selection pane="bottomLeft" activeCell="O39" sqref="O39:P45"/>
    </sheetView>
  </sheetViews>
  <sheetFormatPr defaultRowHeight="13.2" x14ac:dyDescent="0.25"/>
  <cols>
    <col min="1" max="1" width="11.44140625" style="885" customWidth="1"/>
    <col min="2" max="2" width="36.6640625" customWidth="1"/>
    <col min="3" max="3" width="14.44140625" style="1" hidden="1" customWidth="1"/>
    <col min="4" max="10" width="14.44140625" style="114" hidden="1" customWidth="1"/>
    <col min="11" max="13" width="14.44140625" style="114" customWidth="1"/>
    <col min="14" max="14" width="14.44140625" customWidth="1"/>
    <col min="15" max="17" width="14.44140625" style="1" customWidth="1"/>
    <col min="18" max="20" width="14.44140625" customWidth="1"/>
    <col min="21" max="21" width="14.6640625" customWidth="1"/>
  </cols>
  <sheetData>
    <row r="1" spans="1:20" x14ac:dyDescent="0.25">
      <c r="A1" s="874" t="s">
        <v>1021</v>
      </c>
      <c r="B1" s="371" t="s">
        <v>1348</v>
      </c>
      <c r="Q1"/>
    </row>
    <row r="2" spans="1:20" ht="13.8" x14ac:dyDescent="0.25">
      <c r="A2" s="875" t="s">
        <v>259</v>
      </c>
      <c r="B2" s="45"/>
      <c r="E2" s="141"/>
      <c r="I2" s="141" t="s">
        <v>257</v>
      </c>
      <c r="J2" s="141"/>
      <c r="K2" s="141"/>
      <c r="L2" s="141"/>
      <c r="M2" s="141"/>
      <c r="N2" s="61" t="s">
        <v>1296</v>
      </c>
      <c r="P2" s="46" t="s">
        <v>474</v>
      </c>
    </row>
    <row r="3" spans="1:20" ht="13.8" thickBot="1" x14ac:dyDescent="0.3">
      <c r="A3" s="876"/>
      <c r="B3" s="4"/>
      <c r="C3" s="23"/>
      <c r="D3" s="23"/>
      <c r="E3" s="23"/>
      <c r="F3" s="23"/>
      <c r="G3" s="23"/>
      <c r="H3" s="23"/>
      <c r="I3" s="23"/>
      <c r="J3" s="23"/>
      <c r="K3" s="23"/>
      <c r="L3" s="23"/>
      <c r="M3" s="23"/>
      <c r="N3" s="4"/>
      <c r="O3" s="23"/>
      <c r="P3" s="4"/>
      <c r="Q3" s="4"/>
      <c r="T3" s="4"/>
    </row>
    <row r="4" spans="1:20" ht="13.8" thickTop="1" x14ac:dyDescent="0.25">
      <c r="A4" s="877"/>
      <c r="B4" s="651"/>
      <c r="C4" s="128" t="s">
        <v>127</v>
      </c>
      <c r="D4" s="258" t="s">
        <v>127</v>
      </c>
      <c r="E4" s="258" t="s">
        <v>127</v>
      </c>
      <c r="F4" s="258" t="s">
        <v>127</v>
      </c>
      <c r="G4" s="258" t="s">
        <v>127</v>
      </c>
      <c r="H4" s="112" t="s">
        <v>127</v>
      </c>
      <c r="I4" s="289" t="s">
        <v>127</v>
      </c>
      <c r="J4" s="289" t="s">
        <v>127</v>
      </c>
      <c r="K4" s="289" t="s">
        <v>547</v>
      </c>
      <c r="L4" s="289" t="s">
        <v>127</v>
      </c>
      <c r="M4" s="289" t="s">
        <v>547</v>
      </c>
      <c r="N4" s="112" t="s">
        <v>495</v>
      </c>
      <c r="O4" s="84" t="s">
        <v>910</v>
      </c>
      <c r="P4" s="7" t="s">
        <v>910</v>
      </c>
    </row>
    <row r="5" spans="1:20" x14ac:dyDescent="0.25">
      <c r="A5" s="878"/>
      <c r="B5" s="209"/>
      <c r="C5" s="127"/>
      <c r="D5" s="87"/>
      <c r="E5" s="113"/>
      <c r="F5" s="87"/>
      <c r="G5" s="87"/>
      <c r="H5" s="113"/>
      <c r="I5" s="290"/>
      <c r="J5" s="290"/>
      <c r="K5" s="290"/>
      <c r="L5" s="290"/>
      <c r="M5" s="290"/>
      <c r="N5" s="113" t="s">
        <v>515</v>
      </c>
      <c r="O5" s="88" t="s">
        <v>7</v>
      </c>
      <c r="P5" s="203" t="s">
        <v>782</v>
      </c>
    </row>
    <row r="6" spans="1:20" x14ac:dyDescent="0.25">
      <c r="A6" s="878"/>
      <c r="B6" s="209"/>
      <c r="C6" s="127"/>
      <c r="D6" s="127"/>
      <c r="E6" s="127"/>
      <c r="F6" s="127"/>
      <c r="G6" s="127"/>
      <c r="H6" s="127"/>
      <c r="I6" s="88"/>
      <c r="J6" s="88"/>
      <c r="K6" s="88"/>
      <c r="L6" s="88"/>
      <c r="M6" s="88"/>
      <c r="N6" s="127"/>
      <c r="O6" s="88" t="s">
        <v>8</v>
      </c>
      <c r="P6" s="47" t="s">
        <v>543</v>
      </c>
    </row>
    <row r="7" spans="1:20" ht="13.8" thickBot="1" x14ac:dyDescent="0.3">
      <c r="A7" s="879" t="s">
        <v>128</v>
      </c>
      <c r="B7" s="82"/>
      <c r="C7" s="307" t="s">
        <v>347</v>
      </c>
      <c r="D7" s="307" t="s">
        <v>722</v>
      </c>
      <c r="E7" s="9" t="s">
        <v>737</v>
      </c>
      <c r="F7" s="9" t="s">
        <v>789</v>
      </c>
      <c r="G7" s="9" t="s">
        <v>889</v>
      </c>
      <c r="H7" s="9" t="s">
        <v>1018</v>
      </c>
      <c r="I7" s="9" t="s">
        <v>1072</v>
      </c>
      <c r="J7" s="9" t="s">
        <v>907</v>
      </c>
      <c r="K7" s="9" t="s">
        <v>908</v>
      </c>
      <c r="L7" s="9" t="s">
        <v>908</v>
      </c>
      <c r="M7" s="9" t="s">
        <v>909</v>
      </c>
      <c r="N7" s="135">
        <v>44561</v>
      </c>
      <c r="O7" s="9" t="s">
        <v>9</v>
      </c>
      <c r="P7" s="9" t="s">
        <v>546</v>
      </c>
    </row>
    <row r="8" spans="1:20" ht="13.8" thickTop="1" x14ac:dyDescent="0.25">
      <c r="A8" s="908">
        <v>5111</v>
      </c>
      <c r="B8" s="210" t="s">
        <v>688</v>
      </c>
      <c r="C8" s="132">
        <v>87868.9</v>
      </c>
      <c r="D8" s="126">
        <v>95093</v>
      </c>
      <c r="E8" s="126">
        <v>98445</v>
      </c>
      <c r="F8" s="126">
        <v>101417.60000000001</v>
      </c>
      <c r="G8" s="126">
        <v>107277.06</v>
      </c>
      <c r="H8" s="126">
        <v>106047</v>
      </c>
      <c r="I8" s="126">
        <v>110332</v>
      </c>
      <c r="J8" s="126">
        <v>114221</v>
      </c>
      <c r="K8" s="124">
        <v>167169</v>
      </c>
      <c r="L8" s="126">
        <v>167000.45000000001</v>
      </c>
      <c r="M8" s="124">
        <v>169434</v>
      </c>
      <c r="N8" s="18">
        <v>81980.89</v>
      </c>
      <c r="O8" s="124">
        <f>ROUND(+N42++N43+N44,0)</f>
        <v>256358</v>
      </c>
      <c r="P8" s="124"/>
    </row>
    <row r="9" spans="1:20" x14ac:dyDescent="0.25">
      <c r="A9" s="908">
        <v>5113</v>
      </c>
      <c r="B9" s="110" t="s">
        <v>689</v>
      </c>
      <c r="C9" s="132">
        <v>32158</v>
      </c>
      <c r="D9" s="126">
        <v>35092.639999999999</v>
      </c>
      <c r="E9" s="126">
        <v>38122.11</v>
      </c>
      <c r="F9" s="126">
        <v>39647.11</v>
      </c>
      <c r="G9" s="126">
        <v>40514.04</v>
      </c>
      <c r="H9" s="126">
        <v>42186.49</v>
      </c>
      <c r="I9" s="126">
        <v>42825.37</v>
      </c>
      <c r="J9" s="126">
        <v>44603.96</v>
      </c>
      <c r="K9" s="124"/>
      <c r="L9" s="126"/>
      <c r="M9" s="124"/>
      <c r="N9" s="18"/>
      <c r="O9" s="124">
        <f>ROUND((+N45),0)</f>
        <v>23829</v>
      </c>
      <c r="P9" s="124"/>
    </row>
    <row r="10" spans="1:20" x14ac:dyDescent="0.25">
      <c r="A10" s="908">
        <v>5115</v>
      </c>
      <c r="B10" s="110" t="s">
        <v>560</v>
      </c>
      <c r="C10" s="130">
        <v>1000</v>
      </c>
      <c r="D10" s="144">
        <v>1500</v>
      </c>
      <c r="E10" s="144">
        <v>1500</v>
      </c>
      <c r="F10" s="144">
        <v>1500</v>
      </c>
      <c r="G10" s="144">
        <v>2040</v>
      </c>
      <c r="H10" s="144">
        <v>2040</v>
      </c>
      <c r="I10" s="144">
        <v>2040</v>
      </c>
      <c r="J10" s="144">
        <v>2355</v>
      </c>
      <c r="K10" s="248">
        <v>2355</v>
      </c>
      <c r="L10" s="144">
        <v>2355</v>
      </c>
      <c r="M10" s="248">
        <v>2355</v>
      </c>
      <c r="N10" s="13">
        <v>1058.53</v>
      </c>
      <c r="O10" s="248">
        <v>2355</v>
      </c>
      <c r="P10" s="122"/>
    </row>
    <row r="11" spans="1:20" x14ac:dyDescent="0.25">
      <c r="A11" s="908">
        <v>5115</v>
      </c>
      <c r="B11" s="110" t="s">
        <v>531</v>
      </c>
      <c r="C11" s="709">
        <v>1000</v>
      </c>
      <c r="D11" s="320">
        <v>1500</v>
      </c>
      <c r="E11" s="320">
        <v>1500</v>
      </c>
      <c r="F11" s="320">
        <v>1500</v>
      </c>
      <c r="G11" s="320">
        <v>2040</v>
      </c>
      <c r="H11" s="320">
        <v>2040</v>
      </c>
      <c r="I11" s="320">
        <v>2040</v>
      </c>
      <c r="J11" s="320">
        <v>2140</v>
      </c>
      <c r="K11" s="604">
        <v>2140</v>
      </c>
      <c r="L11" s="320">
        <v>2140</v>
      </c>
      <c r="M11" s="604">
        <v>2140</v>
      </c>
      <c r="N11" s="30">
        <v>1070</v>
      </c>
      <c r="O11" s="604">
        <v>2140</v>
      </c>
      <c r="P11" s="122"/>
    </row>
    <row r="12" spans="1:20" x14ac:dyDescent="0.25">
      <c r="A12" s="881">
        <v>5115</v>
      </c>
      <c r="B12" s="63" t="s">
        <v>532</v>
      </c>
      <c r="C12" s="130">
        <v>1000</v>
      </c>
      <c r="D12" s="13">
        <v>1500</v>
      </c>
      <c r="E12" s="13">
        <v>1500</v>
      </c>
      <c r="F12" s="13">
        <v>1500</v>
      </c>
      <c r="G12" s="13">
        <v>2040</v>
      </c>
      <c r="H12" s="13">
        <v>2040</v>
      </c>
      <c r="I12" s="13">
        <v>2040</v>
      </c>
      <c r="J12" s="13">
        <v>2140</v>
      </c>
      <c r="K12" s="42">
        <v>2140</v>
      </c>
      <c r="L12" s="13">
        <v>2140</v>
      </c>
      <c r="M12" s="42">
        <v>2140</v>
      </c>
      <c r="N12" s="13">
        <v>1070</v>
      </c>
      <c r="O12" s="42">
        <v>2140</v>
      </c>
      <c r="P12" s="122"/>
    </row>
    <row r="13" spans="1:20" x14ac:dyDescent="0.25">
      <c r="A13" s="881">
        <v>5124</v>
      </c>
      <c r="B13" s="63" t="s">
        <v>1326</v>
      </c>
      <c r="C13" s="130"/>
      <c r="D13" s="13"/>
      <c r="E13" s="13"/>
      <c r="F13" s="13"/>
      <c r="G13" s="13"/>
      <c r="H13" s="13"/>
      <c r="I13" s="13">
        <v>357</v>
      </c>
      <c r="J13" s="13">
        <v>307.13</v>
      </c>
      <c r="K13" s="42">
        <v>6000</v>
      </c>
      <c r="L13" s="13"/>
      <c r="M13" s="42"/>
      <c r="N13" s="13"/>
      <c r="O13" s="42"/>
      <c r="P13" s="122"/>
    </row>
    <row r="14" spans="1:20" x14ac:dyDescent="0.25">
      <c r="A14" s="881">
        <v>5144</v>
      </c>
      <c r="B14" s="63" t="s">
        <v>157</v>
      </c>
      <c r="C14" s="130">
        <v>1050</v>
      </c>
      <c r="D14" s="13">
        <v>1100</v>
      </c>
      <c r="E14" s="13">
        <v>1100</v>
      </c>
      <c r="F14" s="13">
        <v>1100</v>
      </c>
      <c r="G14" s="13">
        <v>1700</v>
      </c>
      <c r="H14" s="13">
        <v>900</v>
      </c>
      <c r="I14" s="13">
        <v>900</v>
      </c>
      <c r="J14" s="13">
        <v>900</v>
      </c>
      <c r="K14" s="14">
        <v>900</v>
      </c>
      <c r="L14" s="13">
        <v>900</v>
      </c>
      <c r="M14" s="14">
        <v>900</v>
      </c>
      <c r="N14" s="13">
        <v>900</v>
      </c>
      <c r="O14" s="14">
        <v>1700</v>
      </c>
      <c r="P14" s="122"/>
    </row>
    <row r="15" spans="1:20" ht="13.8" thickBot="1" x14ac:dyDescent="0.3">
      <c r="A15" s="881">
        <v>5145</v>
      </c>
      <c r="B15" s="63" t="s">
        <v>603</v>
      </c>
      <c r="C15" s="250">
        <v>161.56</v>
      </c>
      <c r="D15" s="37">
        <v>300.04000000000002</v>
      </c>
      <c r="E15" s="37">
        <v>300.04000000000002</v>
      </c>
      <c r="F15" s="15">
        <v>305.81</v>
      </c>
      <c r="G15" s="15">
        <v>444.29</v>
      </c>
      <c r="H15" s="15">
        <v>600.08000000000004</v>
      </c>
      <c r="I15" s="15">
        <v>600.08000000000004</v>
      </c>
      <c r="J15" s="15">
        <v>600.08000000000004</v>
      </c>
      <c r="K15" s="16">
        <v>610</v>
      </c>
      <c r="L15" s="15">
        <v>611.62</v>
      </c>
      <c r="M15" s="16">
        <v>610</v>
      </c>
      <c r="N15" s="15">
        <v>288.5</v>
      </c>
      <c r="O15" s="16">
        <v>938</v>
      </c>
      <c r="P15" s="123"/>
    </row>
    <row r="16" spans="1:20" hidden="1" x14ac:dyDescent="0.25">
      <c r="A16" s="881">
        <v>5192</v>
      </c>
      <c r="B16" s="63" t="s">
        <v>964</v>
      </c>
      <c r="C16" s="250"/>
      <c r="D16" s="37"/>
      <c r="E16" s="37"/>
      <c r="F16" s="30"/>
      <c r="G16" s="30">
        <v>4305</v>
      </c>
      <c r="H16" s="30"/>
      <c r="I16" s="30"/>
      <c r="J16" s="30"/>
      <c r="K16" s="31"/>
      <c r="L16" s="30"/>
      <c r="M16" s="31"/>
      <c r="N16" s="30"/>
      <c r="O16" s="31"/>
      <c r="P16" s="124"/>
    </row>
    <row r="17" spans="1:16" hidden="1" x14ac:dyDescent="0.25">
      <c r="A17" s="881">
        <v>5193</v>
      </c>
      <c r="B17" s="63" t="s">
        <v>608</v>
      </c>
      <c r="C17" s="250"/>
      <c r="D17" s="37"/>
      <c r="E17" s="37"/>
      <c r="F17" s="37"/>
      <c r="G17" s="37">
        <v>3500</v>
      </c>
      <c r="H17" s="37"/>
      <c r="I17" s="37"/>
      <c r="J17" s="37"/>
      <c r="K17" s="38"/>
      <c r="L17" s="37"/>
      <c r="M17" s="38"/>
      <c r="N17" s="37"/>
      <c r="O17" s="38"/>
      <c r="P17" s="122"/>
    </row>
    <row r="18" spans="1:16" ht="13.8" hidden="1" thickBot="1" x14ac:dyDescent="0.3">
      <c r="A18" s="881">
        <v>5194</v>
      </c>
      <c r="B18" s="63" t="s">
        <v>965</v>
      </c>
      <c r="C18" s="131"/>
      <c r="D18" s="15">
        <v>0</v>
      </c>
      <c r="E18" s="15"/>
      <c r="F18" s="15"/>
      <c r="G18" s="15">
        <v>16073.84</v>
      </c>
      <c r="H18" s="15"/>
      <c r="I18" s="15"/>
      <c r="J18" s="15"/>
      <c r="K18" s="16"/>
      <c r="L18" s="15"/>
      <c r="M18" s="16"/>
      <c r="N18" s="15"/>
      <c r="O18" s="16"/>
      <c r="P18" s="123"/>
    </row>
    <row r="19" spans="1:16" x14ac:dyDescent="0.25">
      <c r="A19" s="881"/>
      <c r="B19" s="17" t="s">
        <v>130</v>
      </c>
      <c r="C19" s="18">
        <f t="shared" ref="C19:P19" si="0">SUM(C8:C18)</f>
        <v>124238.45999999999</v>
      </c>
      <c r="D19" s="18">
        <f t="shared" si="0"/>
        <v>136085.68000000002</v>
      </c>
      <c r="E19" s="18">
        <f t="shared" si="0"/>
        <v>142467.15</v>
      </c>
      <c r="F19" s="18">
        <f t="shared" si="0"/>
        <v>146970.52000000002</v>
      </c>
      <c r="G19" s="18">
        <f t="shared" si="0"/>
        <v>179934.23</v>
      </c>
      <c r="H19" s="18">
        <f t="shared" si="0"/>
        <v>155853.56999999998</v>
      </c>
      <c r="I19" s="18">
        <f t="shared" si="0"/>
        <v>161134.44999999998</v>
      </c>
      <c r="J19" s="18">
        <f t="shared" si="0"/>
        <v>167267.16999999998</v>
      </c>
      <c r="K19" s="19">
        <f>SUM(K8:K18)</f>
        <v>181314</v>
      </c>
      <c r="L19" s="18">
        <f t="shared" ref="L19" si="1">SUM(L8:L18)</f>
        <v>175147.07</v>
      </c>
      <c r="M19" s="19">
        <f>SUM(M8:M18)</f>
        <v>177579</v>
      </c>
      <c r="N19" s="18">
        <f t="shared" si="0"/>
        <v>86367.92</v>
      </c>
      <c r="O19" s="19">
        <f>SUM(O8:O18)</f>
        <v>289460</v>
      </c>
      <c r="P19" s="19">
        <f t="shared" si="0"/>
        <v>0</v>
      </c>
    </row>
    <row r="20" spans="1:16" x14ac:dyDescent="0.25">
      <c r="A20" s="881"/>
      <c r="B20" s="12"/>
      <c r="C20" s="13"/>
      <c r="D20" s="13"/>
      <c r="E20" s="13"/>
      <c r="F20" s="13"/>
      <c r="G20" s="13"/>
      <c r="H20" s="13"/>
      <c r="I20" s="13"/>
      <c r="J20" s="13"/>
      <c r="K20" s="14"/>
      <c r="L20" s="13"/>
      <c r="M20" s="14"/>
      <c r="N20" s="13"/>
      <c r="O20" s="14"/>
      <c r="P20" s="14"/>
    </row>
    <row r="21" spans="1:16" hidden="1" x14ac:dyDescent="0.25">
      <c r="A21" s="881">
        <v>5310</v>
      </c>
      <c r="B21" s="12" t="s">
        <v>1225</v>
      </c>
      <c r="C21" s="13"/>
      <c r="D21" s="13"/>
      <c r="E21" s="13"/>
      <c r="F21" s="13"/>
      <c r="G21" s="13"/>
      <c r="H21" s="13">
        <v>9814</v>
      </c>
      <c r="I21" s="13"/>
      <c r="J21" s="13"/>
      <c r="K21" s="14"/>
      <c r="L21" s="13"/>
      <c r="M21" s="14"/>
      <c r="N21" s="13"/>
      <c r="O21" s="14"/>
      <c r="P21" s="14"/>
    </row>
    <row r="22" spans="1:16" x14ac:dyDescent="0.25">
      <c r="A22" s="881">
        <v>5314</v>
      </c>
      <c r="B22" s="12" t="s">
        <v>139</v>
      </c>
      <c r="C22" s="13">
        <v>155</v>
      </c>
      <c r="D22" s="13">
        <v>264</v>
      </c>
      <c r="E22" s="13">
        <v>234</v>
      </c>
      <c r="F22" s="13">
        <v>339</v>
      </c>
      <c r="G22" s="13">
        <v>1640.7</v>
      </c>
      <c r="H22" s="13">
        <v>344</v>
      </c>
      <c r="I22" s="13">
        <v>1374</v>
      </c>
      <c r="J22" s="13">
        <v>1145</v>
      </c>
      <c r="K22" s="14">
        <v>1000</v>
      </c>
      <c r="L22" s="13">
        <v>496.16</v>
      </c>
      <c r="M22" s="14">
        <v>1000</v>
      </c>
      <c r="N22" s="13">
        <v>29.81</v>
      </c>
      <c r="O22" s="14">
        <v>2000</v>
      </c>
      <c r="P22" s="14"/>
    </row>
    <row r="23" spans="1:16" x14ac:dyDescent="0.25">
      <c r="A23" s="881">
        <v>5315</v>
      </c>
      <c r="B23" s="12" t="s">
        <v>1483</v>
      </c>
      <c r="C23" s="13">
        <v>13</v>
      </c>
      <c r="D23" s="13"/>
      <c r="E23" s="13"/>
      <c r="F23" s="13"/>
      <c r="G23" s="13">
        <v>1771</v>
      </c>
      <c r="H23" s="13">
        <v>3318</v>
      </c>
      <c r="I23" s="13">
        <v>3318</v>
      </c>
      <c r="J23" s="13">
        <v>5501</v>
      </c>
      <c r="K23" s="14">
        <v>7200</v>
      </c>
      <c r="L23" s="13">
        <v>5942.42</v>
      </c>
      <c r="M23" s="14">
        <v>7200</v>
      </c>
      <c r="N23" s="13">
        <v>2014.5</v>
      </c>
      <c r="O23" s="14">
        <v>7200</v>
      </c>
      <c r="P23" s="14"/>
    </row>
    <row r="24" spans="1:16" hidden="1" x14ac:dyDescent="0.25">
      <c r="A24" s="881">
        <v>5341</v>
      </c>
      <c r="B24" s="12" t="s">
        <v>141</v>
      </c>
      <c r="C24" s="13">
        <v>622.19000000000005</v>
      </c>
      <c r="D24" s="13">
        <v>606.08000000000004</v>
      </c>
      <c r="E24" s="13">
        <v>609.53</v>
      </c>
      <c r="F24" s="13">
        <v>625.46</v>
      </c>
      <c r="G24" s="13">
        <v>643.62</v>
      </c>
      <c r="H24" s="13"/>
      <c r="I24" s="13"/>
      <c r="J24" s="13"/>
      <c r="K24" s="14"/>
      <c r="L24" s="13"/>
      <c r="M24" s="14"/>
      <c r="N24" s="13"/>
      <c r="O24" s="14"/>
      <c r="P24" s="14"/>
    </row>
    <row r="25" spans="1:16" x14ac:dyDescent="0.25">
      <c r="A25" s="881">
        <v>5344</v>
      </c>
      <c r="B25" s="12" t="s">
        <v>142</v>
      </c>
      <c r="C25" s="13">
        <v>394.95</v>
      </c>
      <c r="D25" s="13">
        <v>15.26</v>
      </c>
      <c r="E25" s="13">
        <v>46.13</v>
      </c>
      <c r="F25" s="13">
        <v>313.97000000000003</v>
      </c>
      <c r="G25" s="13">
        <v>6.67</v>
      </c>
      <c r="H25" s="13">
        <v>230.52</v>
      </c>
      <c r="I25" s="13">
        <v>57.55</v>
      </c>
      <c r="J25" s="13">
        <v>291.2</v>
      </c>
      <c r="K25" s="14">
        <v>300</v>
      </c>
      <c r="L25" s="13">
        <v>181.55</v>
      </c>
      <c r="M25" s="14">
        <v>300</v>
      </c>
      <c r="N25" s="13"/>
      <c r="O25" s="14">
        <v>300</v>
      </c>
      <c r="P25" s="14"/>
    </row>
    <row r="26" spans="1:16" x14ac:dyDescent="0.25">
      <c r="A26" s="881">
        <v>5345</v>
      </c>
      <c r="B26" s="12" t="s">
        <v>143</v>
      </c>
      <c r="C26" s="13">
        <v>215.57</v>
      </c>
      <c r="D26" s="13">
        <v>993.7</v>
      </c>
      <c r="E26" s="13">
        <v>1101.8</v>
      </c>
      <c r="F26" s="13"/>
      <c r="G26" s="13">
        <v>766</v>
      </c>
      <c r="H26" s="13"/>
      <c r="I26" s="13">
        <v>386.33</v>
      </c>
      <c r="J26" s="13">
        <v>223.36</v>
      </c>
      <c r="K26" s="14">
        <v>1050</v>
      </c>
      <c r="L26" s="13">
        <v>2584.1</v>
      </c>
      <c r="M26" s="14">
        <v>1050</v>
      </c>
      <c r="N26" s="13"/>
      <c r="O26" s="14">
        <v>1050</v>
      </c>
      <c r="P26" s="14"/>
    </row>
    <row r="27" spans="1:16" x14ac:dyDescent="0.25">
      <c r="A27" s="881">
        <v>5420</v>
      </c>
      <c r="B27" s="12" t="s">
        <v>144</v>
      </c>
      <c r="C27" s="18">
        <v>961.77</v>
      </c>
      <c r="D27" s="18">
        <v>902.7</v>
      </c>
      <c r="E27" s="18">
        <v>1272.0899999999999</v>
      </c>
      <c r="F27" s="18">
        <v>1250.75</v>
      </c>
      <c r="G27" s="18">
        <v>1639.92</v>
      </c>
      <c r="H27" s="18">
        <v>1984.35</v>
      </c>
      <c r="I27" s="18">
        <v>2047.5</v>
      </c>
      <c r="J27" s="18">
        <v>2678.22</v>
      </c>
      <c r="K27" s="19">
        <v>1600</v>
      </c>
      <c r="L27" s="18">
        <v>2729.07</v>
      </c>
      <c r="M27" s="19">
        <v>2350</v>
      </c>
      <c r="N27" s="18">
        <v>73.349999999999994</v>
      </c>
      <c r="O27" s="19">
        <v>4500</v>
      </c>
      <c r="P27" s="19"/>
    </row>
    <row r="28" spans="1:16" x14ac:dyDescent="0.25">
      <c r="A28" s="881">
        <v>5450</v>
      </c>
      <c r="B28" s="12" t="s">
        <v>12</v>
      </c>
      <c r="C28" s="103"/>
      <c r="D28" s="103">
        <v>105.99</v>
      </c>
      <c r="E28" s="103"/>
      <c r="F28" s="103"/>
      <c r="G28" s="103"/>
      <c r="H28" s="103">
        <v>470.13</v>
      </c>
      <c r="I28" s="103">
        <v>0</v>
      </c>
      <c r="J28" s="103">
        <v>501.35</v>
      </c>
      <c r="K28" s="239">
        <v>500</v>
      </c>
      <c r="L28" s="103"/>
      <c r="M28" s="239">
        <v>500</v>
      </c>
      <c r="N28" s="103"/>
      <c r="O28" s="239">
        <v>500</v>
      </c>
      <c r="P28" s="14"/>
    </row>
    <row r="29" spans="1:16" x14ac:dyDescent="0.25">
      <c r="A29" s="881">
        <v>5581</v>
      </c>
      <c r="B29" s="12" t="s">
        <v>146</v>
      </c>
      <c r="C29" s="102">
        <v>69</v>
      </c>
      <c r="D29" s="102">
        <v>157.4</v>
      </c>
      <c r="E29" s="102">
        <v>88.4</v>
      </c>
      <c r="F29" s="102"/>
      <c r="G29" s="102">
        <v>167.8</v>
      </c>
      <c r="H29" s="102">
        <v>175.6</v>
      </c>
      <c r="I29" s="102">
        <v>176.55</v>
      </c>
      <c r="J29" s="102">
        <v>148.86000000000001</v>
      </c>
      <c r="K29" s="34">
        <v>200</v>
      </c>
      <c r="L29" s="102">
        <v>127.4</v>
      </c>
      <c r="M29" s="34">
        <v>200</v>
      </c>
      <c r="N29" s="102">
        <v>76.44</v>
      </c>
      <c r="O29" s="34">
        <v>200</v>
      </c>
      <c r="P29" s="14"/>
    </row>
    <row r="30" spans="1:16" x14ac:dyDescent="0.25">
      <c r="A30" s="881">
        <v>5582</v>
      </c>
      <c r="B30" s="12" t="s">
        <v>23</v>
      </c>
      <c r="C30" s="103">
        <v>10.9</v>
      </c>
      <c r="D30" s="103"/>
      <c r="E30" s="103"/>
      <c r="F30" s="103"/>
      <c r="G30" s="103">
        <v>121.44</v>
      </c>
      <c r="H30" s="103"/>
      <c r="I30" s="103">
        <v>117.69</v>
      </c>
      <c r="J30" s="103">
        <v>262.37</v>
      </c>
      <c r="K30" s="239">
        <v>600</v>
      </c>
      <c r="L30" s="103">
        <v>230.58</v>
      </c>
      <c r="M30" s="239">
        <v>300</v>
      </c>
      <c r="N30" s="103">
        <v>24</v>
      </c>
      <c r="O30" s="239">
        <v>300</v>
      </c>
      <c r="P30" s="19"/>
    </row>
    <row r="31" spans="1:16" x14ac:dyDescent="0.25">
      <c r="A31" s="881">
        <v>5590</v>
      </c>
      <c r="B31" s="12" t="s">
        <v>1001</v>
      </c>
      <c r="C31" s="103"/>
      <c r="D31" s="103"/>
      <c r="E31" s="103"/>
      <c r="F31" s="103">
        <v>3247.68</v>
      </c>
      <c r="G31" s="103">
        <v>3568</v>
      </c>
      <c r="H31" s="103"/>
      <c r="I31" s="103"/>
      <c r="J31" s="103"/>
      <c r="K31" s="239"/>
      <c r="L31" s="103"/>
      <c r="M31" s="239"/>
      <c r="N31" s="103"/>
      <c r="O31" s="239">
        <v>3000</v>
      </c>
      <c r="P31" s="19"/>
    </row>
    <row r="32" spans="1:16" x14ac:dyDescent="0.25">
      <c r="A32" s="881">
        <v>5710</v>
      </c>
      <c r="B32" s="12" t="s">
        <v>535</v>
      </c>
      <c r="C32" s="18">
        <v>798.35</v>
      </c>
      <c r="D32" s="18">
        <v>780.84</v>
      </c>
      <c r="E32" s="18">
        <v>851.39</v>
      </c>
      <c r="F32" s="18">
        <v>839.1</v>
      </c>
      <c r="G32" s="18">
        <v>1366.82</v>
      </c>
      <c r="H32" s="18">
        <v>964.56</v>
      </c>
      <c r="I32" s="18">
        <v>1700.03</v>
      </c>
      <c r="J32" s="18">
        <v>726.14</v>
      </c>
      <c r="K32" s="19">
        <v>1750</v>
      </c>
      <c r="L32" s="18"/>
      <c r="M32" s="19">
        <v>1750</v>
      </c>
      <c r="N32" s="18">
        <v>35.840000000000003</v>
      </c>
      <c r="O32" s="19">
        <v>2500</v>
      </c>
      <c r="P32" s="19"/>
    </row>
    <row r="33" spans="1:21" ht="13.8" thickBot="1" x14ac:dyDescent="0.3">
      <c r="A33" s="881">
        <v>5730</v>
      </c>
      <c r="B33" s="12" t="s">
        <v>147</v>
      </c>
      <c r="C33" s="15">
        <v>2157</v>
      </c>
      <c r="D33" s="15">
        <v>1952</v>
      </c>
      <c r="E33" s="15">
        <v>1997</v>
      </c>
      <c r="F33" s="15">
        <v>1966.42</v>
      </c>
      <c r="G33" s="15">
        <v>1814.8</v>
      </c>
      <c r="H33" s="15">
        <v>2011</v>
      </c>
      <c r="I33" s="15">
        <v>2178</v>
      </c>
      <c r="J33" s="15">
        <v>2401</v>
      </c>
      <c r="K33" s="16">
        <v>2500</v>
      </c>
      <c r="L33" s="15">
        <v>2346</v>
      </c>
      <c r="M33" s="16">
        <v>2500</v>
      </c>
      <c r="N33" s="15">
        <v>2321</v>
      </c>
      <c r="O33" s="16">
        <v>2500</v>
      </c>
      <c r="P33" s="16"/>
    </row>
    <row r="34" spans="1:21" x14ac:dyDescent="0.25">
      <c r="A34" s="881"/>
      <c r="B34" s="17" t="s">
        <v>449</v>
      </c>
      <c r="C34" s="13">
        <f t="shared" ref="C34:N34" si="2">SUM(C22:C33)</f>
        <v>5397.73</v>
      </c>
      <c r="D34" s="13">
        <f t="shared" si="2"/>
        <v>5777.9699999999993</v>
      </c>
      <c r="E34" s="13">
        <f t="shared" si="2"/>
        <v>6200.34</v>
      </c>
      <c r="F34" s="13">
        <f>SUM(F22:F33)</f>
        <v>8582.380000000001</v>
      </c>
      <c r="G34" s="13">
        <f>SUM(G22:G33)</f>
        <v>13506.769999999999</v>
      </c>
      <c r="H34" s="13">
        <f>SUM(H21:H33)</f>
        <v>19312.16</v>
      </c>
      <c r="I34" s="13">
        <f t="shared" si="2"/>
        <v>11355.65</v>
      </c>
      <c r="J34" s="13">
        <f t="shared" ref="J34" si="3">SUM(J22:J33)</f>
        <v>13878.5</v>
      </c>
      <c r="K34" s="14">
        <f>SUM(K22:K33)</f>
        <v>16700</v>
      </c>
      <c r="L34" s="13">
        <f t="shared" ref="L34:M34" si="4">SUM(L22:L33)</f>
        <v>14637.279999999999</v>
      </c>
      <c r="M34" s="14">
        <f t="shared" si="4"/>
        <v>17150</v>
      </c>
      <c r="N34" s="13">
        <f t="shared" si="2"/>
        <v>4574.9400000000005</v>
      </c>
      <c r="O34" s="14">
        <f>SUM(O22:O33)</f>
        <v>24050</v>
      </c>
      <c r="P34" s="14">
        <f>SUM(P22:P33)</f>
        <v>0</v>
      </c>
    </row>
    <row r="35" spans="1:21" x14ac:dyDescent="0.25">
      <c r="A35" s="881"/>
      <c r="B35" s="12"/>
      <c r="C35" s="13"/>
      <c r="D35" s="13"/>
      <c r="E35" s="13"/>
      <c r="F35" s="13"/>
      <c r="G35" s="13"/>
      <c r="H35" s="13"/>
      <c r="I35" s="13"/>
      <c r="J35" s="13"/>
      <c r="K35" s="14"/>
      <c r="L35" s="13"/>
      <c r="M35" s="14"/>
      <c r="N35" s="13"/>
      <c r="O35" s="14"/>
      <c r="P35" s="14"/>
    </row>
    <row r="36" spans="1:21" ht="13.8" thickBot="1" x14ac:dyDescent="0.3">
      <c r="A36" s="882"/>
      <c r="B36" s="20" t="s">
        <v>452</v>
      </c>
      <c r="C36" s="21">
        <f t="shared" ref="C36:O36" si="5">+C34+C19</f>
        <v>129636.18999999999</v>
      </c>
      <c r="D36" s="21">
        <f t="shared" si="5"/>
        <v>141863.65000000002</v>
      </c>
      <c r="E36" s="21">
        <f t="shared" si="5"/>
        <v>148667.49</v>
      </c>
      <c r="F36" s="21">
        <f t="shared" si="5"/>
        <v>155552.90000000002</v>
      </c>
      <c r="G36" s="21">
        <f t="shared" si="5"/>
        <v>193441</v>
      </c>
      <c r="H36" s="21">
        <f t="shared" si="5"/>
        <v>175165.72999999998</v>
      </c>
      <c r="I36" s="21">
        <f t="shared" si="5"/>
        <v>172490.09999999998</v>
      </c>
      <c r="J36" s="21">
        <f t="shared" ref="J36" si="6">+J34+J19</f>
        <v>181145.66999999998</v>
      </c>
      <c r="K36" s="22">
        <f t="shared" ref="K36:M36" si="7">+K34+K19</f>
        <v>198014</v>
      </c>
      <c r="L36" s="21">
        <f t="shared" si="7"/>
        <v>189784.35</v>
      </c>
      <c r="M36" s="22">
        <f t="shared" si="7"/>
        <v>194729</v>
      </c>
      <c r="N36" s="21">
        <f t="shared" si="5"/>
        <v>90942.86</v>
      </c>
      <c r="O36" s="22">
        <f t="shared" si="5"/>
        <v>313510</v>
      </c>
      <c r="P36" s="22">
        <f>+O36</f>
        <v>313510</v>
      </c>
    </row>
    <row r="37" spans="1:21" ht="16.2" thickTop="1" x14ac:dyDescent="0.3">
      <c r="A37" s="898"/>
      <c r="B37" s="95"/>
      <c r="C37" s="23"/>
      <c r="D37" s="23"/>
      <c r="E37" s="23"/>
      <c r="F37" s="23"/>
      <c r="G37" s="23"/>
      <c r="H37" s="23"/>
      <c r="I37" s="23"/>
      <c r="J37" s="23"/>
      <c r="K37" s="23"/>
      <c r="L37" s="23"/>
      <c r="M37" s="23"/>
      <c r="N37" s="27"/>
      <c r="O37" s="23"/>
      <c r="P37" s="77"/>
      <c r="Q37" s="23"/>
      <c r="R37" s="27"/>
      <c r="S37" s="208"/>
      <c r="T37" s="27"/>
    </row>
    <row r="38" spans="1:21" x14ac:dyDescent="0.25">
      <c r="A38" s="898"/>
      <c r="B38" s="95"/>
      <c r="P38" s="77"/>
      <c r="Q38" s="27"/>
    </row>
    <row r="39" spans="1:21" ht="13.8" thickBot="1" x14ac:dyDescent="0.3">
      <c r="A39" s="876"/>
      <c r="B39" s="4"/>
    </row>
    <row r="40" spans="1:21" ht="13.8" thickTop="1" x14ac:dyDescent="0.25">
      <c r="A40" s="942" t="s">
        <v>891</v>
      </c>
      <c r="B40" s="107"/>
      <c r="D40" s="351"/>
      <c r="K40" s="316" t="s">
        <v>85</v>
      </c>
      <c r="L40" s="156" t="s">
        <v>33</v>
      </c>
      <c r="M40" s="168"/>
      <c r="N40" s="158" t="s">
        <v>579</v>
      </c>
      <c r="O40"/>
      <c r="P40" s="212"/>
      <c r="Q40"/>
    </row>
    <row r="41" spans="1:21" ht="13.8" thickBot="1" x14ac:dyDescent="0.3">
      <c r="A41" s="943" t="s">
        <v>892</v>
      </c>
      <c r="B41" s="109" t="s">
        <v>528</v>
      </c>
      <c r="D41" s="353"/>
      <c r="K41" s="343">
        <v>44743</v>
      </c>
      <c r="L41" s="159" t="s">
        <v>576</v>
      </c>
      <c r="M41" s="160" t="s">
        <v>574</v>
      </c>
      <c r="N41" s="160" t="s">
        <v>106</v>
      </c>
      <c r="O41" s="234"/>
      <c r="P41" s="234"/>
      <c r="Q41" s="234" t="s">
        <v>350</v>
      </c>
    </row>
    <row r="42" spans="1:21" ht="13.8" thickTop="1" x14ac:dyDescent="0.25">
      <c r="A42" s="151"/>
      <c r="B42" s="110" t="s">
        <v>383</v>
      </c>
      <c r="D42" s="18"/>
      <c r="K42" s="18" t="s">
        <v>1311</v>
      </c>
      <c r="L42" s="18"/>
      <c r="M42" s="18"/>
      <c r="N42" s="155">
        <f>+'NAGE &amp; Non-Union Wages'!L14</f>
        <v>117673</v>
      </c>
      <c r="O42" s="171"/>
      <c r="P42" s="885"/>
      <c r="Q42" s="2"/>
    </row>
    <row r="43" spans="1:21" x14ac:dyDescent="0.25">
      <c r="A43" s="151"/>
      <c r="B43" s="110" t="s">
        <v>1784</v>
      </c>
      <c r="D43" s="18"/>
      <c r="K43" s="18" t="s">
        <v>1785</v>
      </c>
      <c r="L43" s="18"/>
      <c r="M43" s="18"/>
      <c r="N43" s="155">
        <f>+'NAGE &amp; Non-Union Wages'!C13</f>
        <v>86924</v>
      </c>
      <c r="O43" s="171"/>
      <c r="P43" s="885"/>
      <c r="Q43" s="2"/>
    </row>
    <row r="44" spans="1:21" x14ac:dyDescent="0.25">
      <c r="A44" s="152"/>
      <c r="B44" s="63" t="s">
        <v>1350</v>
      </c>
      <c r="D44" s="13"/>
      <c r="K44" s="13" t="s">
        <v>1312</v>
      </c>
      <c r="L44" s="13">
        <f>+'NAGE &amp; Non-Union Wages'!L8</f>
        <v>28.44</v>
      </c>
      <c r="M44" s="13">
        <v>1820</v>
      </c>
      <c r="N44" s="155">
        <f>ROUND((+M44*L44),2)</f>
        <v>51760.800000000003</v>
      </c>
      <c r="O44" s="171"/>
      <c r="P44" s="885"/>
      <c r="Q44" s="2">
        <v>900</v>
      </c>
    </row>
    <row r="45" spans="1:21" x14ac:dyDescent="0.25">
      <c r="A45" s="876"/>
      <c r="B45" s="4" t="s">
        <v>1786</v>
      </c>
      <c r="C45" s="23"/>
      <c r="D45" s="23"/>
      <c r="E45" s="23"/>
      <c r="F45" s="23"/>
      <c r="I45" s="23"/>
      <c r="J45" s="23"/>
      <c r="K45" s="13" t="s">
        <v>1787</v>
      </c>
      <c r="L45" s="13">
        <f>+'NAGE &amp; Non-Union Wages'!C5</f>
        <v>18.260000000000002</v>
      </c>
      <c r="M45" s="13">
        <v>1305</v>
      </c>
      <c r="N45" s="155">
        <f>ROUND((+M45*L45),2)</f>
        <v>23829.3</v>
      </c>
      <c r="O45" s="23"/>
      <c r="P45" s="23"/>
      <c r="Q45" s="23"/>
      <c r="R45" s="27"/>
      <c r="S45" s="171"/>
      <c r="U45" s="2"/>
    </row>
    <row r="46" spans="1:21" x14ac:dyDescent="0.25">
      <c r="A46" s="876"/>
      <c r="B46" s="4"/>
      <c r="C46" s="23"/>
      <c r="D46" s="23"/>
      <c r="E46" s="23"/>
      <c r="F46" s="23"/>
      <c r="I46" s="23"/>
      <c r="J46" s="23"/>
      <c r="K46" s="23"/>
      <c r="L46" s="23"/>
      <c r="M46" s="23"/>
      <c r="N46" s="27"/>
      <c r="O46" s="23"/>
      <c r="P46" s="23"/>
      <c r="Q46" s="23"/>
      <c r="R46" s="27"/>
      <c r="S46" s="171"/>
      <c r="U46" s="2"/>
    </row>
    <row r="47" spans="1:21" ht="13.8" thickBot="1" x14ac:dyDescent="0.3">
      <c r="A47" s="876"/>
      <c r="B47" s="95"/>
      <c r="C47" s="23"/>
      <c r="D47" s="23"/>
      <c r="E47" s="23"/>
      <c r="F47" s="23"/>
      <c r="I47" s="23"/>
      <c r="J47" s="23"/>
      <c r="K47" s="23"/>
      <c r="L47" s="23"/>
      <c r="M47" s="23"/>
      <c r="N47" s="27"/>
      <c r="O47" s="23"/>
      <c r="P47" s="23"/>
      <c r="Q47" s="23"/>
      <c r="R47" s="27"/>
      <c r="S47" s="171"/>
      <c r="U47" s="2"/>
    </row>
    <row r="48" spans="1:21" ht="13.8" thickTop="1" x14ac:dyDescent="0.25">
      <c r="A48" s="893"/>
      <c r="B48" s="452"/>
      <c r="C48" s="453" t="s">
        <v>127</v>
      </c>
      <c r="D48" s="454" t="s">
        <v>127</v>
      </c>
      <c r="E48" s="454" t="s">
        <v>127</v>
      </c>
      <c r="K48" s="455" t="s">
        <v>547</v>
      </c>
      <c r="L48" s="456" t="s">
        <v>9</v>
      </c>
      <c r="M48" s="457" t="s">
        <v>1073</v>
      </c>
      <c r="N48" s="456" t="s">
        <v>686</v>
      </c>
      <c r="O48" s="458"/>
      <c r="P48" s="457"/>
      <c r="Q48" s="23"/>
      <c r="R48" s="27"/>
      <c r="S48" s="27"/>
      <c r="T48" s="27"/>
      <c r="U48" s="2"/>
    </row>
    <row r="49" spans="1:20" ht="13.8" thickBot="1" x14ac:dyDescent="0.3">
      <c r="A49" s="894" t="s">
        <v>128</v>
      </c>
      <c r="B49" s="459"/>
      <c r="C49" s="460" t="s">
        <v>347</v>
      </c>
      <c r="D49" s="460" t="s">
        <v>722</v>
      </c>
      <c r="E49" s="461" t="s">
        <v>737</v>
      </c>
      <c r="K49" s="462" t="s">
        <v>909</v>
      </c>
      <c r="L49" s="462" t="s">
        <v>910</v>
      </c>
      <c r="M49" s="461" t="s">
        <v>1075</v>
      </c>
      <c r="N49" s="463" t="s">
        <v>1075</v>
      </c>
      <c r="O49" s="464" t="s">
        <v>1074</v>
      </c>
      <c r="P49" s="462"/>
      <c r="Q49" s="23"/>
      <c r="R49" s="27"/>
      <c r="S49" s="27"/>
      <c r="T49" s="27"/>
    </row>
    <row r="50" spans="1:20" ht="13.8" thickTop="1" x14ac:dyDescent="0.25">
      <c r="A50" s="910">
        <v>5111</v>
      </c>
      <c r="B50" s="480" t="s">
        <v>688</v>
      </c>
      <c r="C50" s="468">
        <v>87868.9</v>
      </c>
      <c r="D50" s="468">
        <v>95093</v>
      </c>
      <c r="E50" s="468">
        <v>98445</v>
      </c>
      <c r="K50" s="469">
        <f t="shared" ref="K50:K57" si="8">+M8</f>
        <v>169434</v>
      </c>
      <c r="L50" s="496">
        <f t="shared" ref="L50:L57" si="9">+O8</f>
        <v>256358</v>
      </c>
      <c r="M50" s="471">
        <f t="shared" ref="M50:M69" si="10">+L50-K50</f>
        <v>86924</v>
      </c>
      <c r="N50" s="477">
        <f t="shared" ref="N50:N69" si="11">IF(K50+L50&lt;&gt;0,IF(K50&lt;&gt;0,IF(M50&lt;&gt;0,ROUND((+M50/K50),4),""),1),"")</f>
        <v>0.51300000000000001</v>
      </c>
      <c r="O50" s="470" t="s">
        <v>1788</v>
      </c>
      <c r="P50" s="471"/>
      <c r="Q50" s="23"/>
      <c r="R50" s="27"/>
      <c r="S50" s="27"/>
      <c r="T50" s="27"/>
    </row>
    <row r="51" spans="1:20" x14ac:dyDescent="0.25">
      <c r="A51" s="910">
        <v>5113</v>
      </c>
      <c r="B51" s="480" t="s">
        <v>689</v>
      </c>
      <c r="C51" s="468">
        <v>32158</v>
      </c>
      <c r="D51" s="468">
        <v>35092.639999999999</v>
      </c>
      <c r="E51" s="468">
        <v>38122.11</v>
      </c>
      <c r="K51" s="469">
        <f t="shared" si="8"/>
        <v>0</v>
      </c>
      <c r="L51" s="496">
        <f t="shared" si="9"/>
        <v>23829</v>
      </c>
      <c r="M51" s="471">
        <f t="shared" si="10"/>
        <v>23829</v>
      </c>
      <c r="N51" s="477">
        <f t="shared" si="11"/>
        <v>1</v>
      </c>
      <c r="O51" s="470" t="s">
        <v>1789</v>
      </c>
      <c r="P51" s="471"/>
      <c r="Q51" s="23"/>
      <c r="R51" s="27"/>
      <c r="S51" s="27"/>
      <c r="T51" s="27"/>
    </row>
    <row r="52" spans="1:20" x14ac:dyDescent="0.25">
      <c r="A52" s="910">
        <v>5115</v>
      </c>
      <c r="B52" s="480" t="s">
        <v>560</v>
      </c>
      <c r="C52" s="476">
        <v>1000</v>
      </c>
      <c r="D52" s="476">
        <v>1500</v>
      </c>
      <c r="E52" s="476">
        <v>1500</v>
      </c>
      <c r="K52" s="469">
        <f t="shared" si="8"/>
        <v>2355</v>
      </c>
      <c r="L52" s="496">
        <f t="shared" si="9"/>
        <v>2355</v>
      </c>
      <c r="M52" s="471">
        <f t="shared" si="10"/>
        <v>0</v>
      </c>
      <c r="N52" s="477" t="str">
        <f t="shared" si="11"/>
        <v/>
      </c>
      <c r="O52" s="470"/>
      <c r="P52" s="471"/>
      <c r="Q52" s="23"/>
      <c r="R52" s="27"/>
      <c r="S52" s="27"/>
      <c r="T52" s="27"/>
    </row>
    <row r="53" spans="1:20" x14ac:dyDescent="0.25">
      <c r="A53" s="910">
        <v>5115</v>
      </c>
      <c r="B53" s="480" t="s">
        <v>531</v>
      </c>
      <c r="C53" s="481">
        <v>1000</v>
      </c>
      <c r="D53" s="481">
        <v>1500</v>
      </c>
      <c r="E53" s="481">
        <v>1500</v>
      </c>
      <c r="K53" s="469">
        <f t="shared" si="8"/>
        <v>2140</v>
      </c>
      <c r="L53" s="496">
        <f t="shared" si="9"/>
        <v>2140</v>
      </c>
      <c r="M53" s="471">
        <f t="shared" si="10"/>
        <v>0</v>
      </c>
      <c r="N53" s="477" t="str">
        <f t="shared" si="11"/>
        <v/>
      </c>
      <c r="O53" s="470"/>
      <c r="P53" s="471"/>
      <c r="Q53" s="23"/>
      <c r="R53" s="27"/>
      <c r="S53" s="27"/>
      <c r="T53" s="27"/>
    </row>
    <row r="54" spans="1:20" x14ac:dyDescent="0.25">
      <c r="A54" s="907">
        <v>5115</v>
      </c>
      <c r="B54" s="472" t="s">
        <v>532</v>
      </c>
      <c r="C54" s="476">
        <v>1000</v>
      </c>
      <c r="D54" s="476">
        <v>1500</v>
      </c>
      <c r="E54" s="476">
        <v>1500</v>
      </c>
      <c r="K54" s="469">
        <f t="shared" si="8"/>
        <v>2140</v>
      </c>
      <c r="L54" s="496">
        <f t="shared" si="9"/>
        <v>2140</v>
      </c>
      <c r="M54" s="471">
        <f t="shared" si="10"/>
        <v>0</v>
      </c>
      <c r="N54" s="477" t="str">
        <f t="shared" si="11"/>
        <v/>
      </c>
      <c r="O54" s="470"/>
      <c r="P54" s="471"/>
      <c r="Q54" s="23"/>
      <c r="R54" s="27"/>
      <c r="S54" s="27"/>
      <c r="T54" s="27"/>
    </row>
    <row r="55" spans="1:20" x14ac:dyDescent="0.25">
      <c r="A55" s="907">
        <v>5124</v>
      </c>
      <c r="B55" s="472" t="s">
        <v>102</v>
      </c>
      <c r="C55" s="476"/>
      <c r="D55" s="476"/>
      <c r="E55" s="476"/>
      <c r="K55" s="469">
        <f t="shared" si="8"/>
        <v>0</v>
      </c>
      <c r="L55" s="496">
        <f t="shared" si="9"/>
        <v>0</v>
      </c>
      <c r="M55" s="471">
        <f t="shared" ref="M55" si="12">+L55-K55</f>
        <v>0</v>
      </c>
      <c r="N55" s="477" t="str">
        <f t="shared" si="11"/>
        <v/>
      </c>
      <c r="O55" s="470"/>
      <c r="P55" s="471"/>
      <c r="Q55" s="23"/>
      <c r="R55" s="27"/>
      <c r="S55" s="27"/>
      <c r="T55" s="27"/>
    </row>
    <row r="56" spans="1:20" x14ac:dyDescent="0.25">
      <c r="A56" s="907">
        <v>5144</v>
      </c>
      <c r="B56" s="472" t="s">
        <v>157</v>
      </c>
      <c r="C56" s="476">
        <v>1050</v>
      </c>
      <c r="D56" s="476">
        <v>1100</v>
      </c>
      <c r="E56" s="476">
        <v>1100</v>
      </c>
      <c r="K56" s="469">
        <f t="shared" si="8"/>
        <v>900</v>
      </c>
      <c r="L56" s="496">
        <f t="shared" si="9"/>
        <v>1700</v>
      </c>
      <c r="M56" s="471">
        <f t="shared" si="10"/>
        <v>800</v>
      </c>
      <c r="N56" s="477">
        <f t="shared" si="11"/>
        <v>0.88890000000000002</v>
      </c>
      <c r="O56" s="470" t="s">
        <v>1790</v>
      </c>
      <c r="P56" s="471"/>
      <c r="Q56" s="23"/>
      <c r="R56" s="27"/>
      <c r="S56" s="27"/>
      <c r="T56" s="27"/>
    </row>
    <row r="57" spans="1:20" x14ac:dyDescent="0.25">
      <c r="A57" s="907">
        <v>5145</v>
      </c>
      <c r="B57" s="472" t="s">
        <v>603</v>
      </c>
      <c r="C57" s="478">
        <v>161.56</v>
      </c>
      <c r="D57" s="478">
        <v>300.04000000000002</v>
      </c>
      <c r="E57" s="478">
        <v>300.04000000000002</v>
      </c>
      <c r="K57" s="469">
        <f t="shared" si="8"/>
        <v>610</v>
      </c>
      <c r="L57" s="496">
        <f t="shared" si="9"/>
        <v>938</v>
      </c>
      <c r="M57" s="471">
        <f t="shared" si="10"/>
        <v>328</v>
      </c>
      <c r="N57" s="477">
        <f t="shared" si="11"/>
        <v>0.53769999999999996</v>
      </c>
      <c r="O57" s="470" t="s">
        <v>1791</v>
      </c>
      <c r="P57" s="471"/>
      <c r="Q57" s="23"/>
      <c r="R57" s="27"/>
      <c r="S57" s="27"/>
      <c r="T57" s="27"/>
    </row>
    <row r="58" spans="1:20" x14ac:dyDescent="0.25">
      <c r="A58" s="907">
        <v>5314</v>
      </c>
      <c r="B58" s="472" t="s">
        <v>139</v>
      </c>
      <c r="C58" s="476">
        <v>155</v>
      </c>
      <c r="D58" s="476">
        <v>264</v>
      </c>
      <c r="E58" s="476">
        <v>234</v>
      </c>
      <c r="K58" s="469">
        <f t="shared" ref="K58:K69" si="13">+M22</f>
        <v>1000</v>
      </c>
      <c r="L58" s="496">
        <f t="shared" ref="L58:L69" si="14">+O22</f>
        <v>2000</v>
      </c>
      <c r="M58" s="471">
        <f t="shared" si="10"/>
        <v>1000</v>
      </c>
      <c r="N58" s="477">
        <f t="shared" si="11"/>
        <v>1</v>
      </c>
      <c r="O58" s="470" t="s">
        <v>1792</v>
      </c>
      <c r="P58" s="471"/>
      <c r="Q58" s="23"/>
      <c r="R58" s="27"/>
      <c r="S58" s="27"/>
      <c r="T58" s="27"/>
    </row>
    <row r="59" spans="1:20" x14ac:dyDescent="0.25">
      <c r="A59" s="907">
        <v>5315</v>
      </c>
      <c r="B59" s="472" t="s">
        <v>1052</v>
      </c>
      <c r="C59" s="476">
        <v>13</v>
      </c>
      <c r="D59" s="476"/>
      <c r="E59" s="476"/>
      <c r="K59" s="469">
        <f t="shared" si="13"/>
        <v>7200</v>
      </c>
      <c r="L59" s="496">
        <f t="shared" si="14"/>
        <v>7200</v>
      </c>
      <c r="M59" s="471">
        <f t="shared" si="10"/>
        <v>0</v>
      </c>
      <c r="N59" s="477" t="str">
        <f t="shared" si="11"/>
        <v/>
      </c>
      <c r="O59" s="470"/>
      <c r="P59" s="471"/>
      <c r="Q59" s="23"/>
      <c r="R59" s="27"/>
      <c r="S59" s="27"/>
      <c r="T59" s="27"/>
    </row>
    <row r="60" spans="1:20" hidden="1" x14ac:dyDescent="0.25">
      <c r="A60" s="907">
        <v>5341</v>
      </c>
      <c r="B60" s="472" t="s">
        <v>141</v>
      </c>
      <c r="C60" s="476">
        <v>622.19000000000005</v>
      </c>
      <c r="D60" s="476">
        <v>606.08000000000004</v>
      </c>
      <c r="E60" s="476">
        <v>609.53</v>
      </c>
      <c r="K60" s="469">
        <f t="shared" si="13"/>
        <v>0</v>
      </c>
      <c r="L60" s="496">
        <f t="shared" si="14"/>
        <v>0</v>
      </c>
      <c r="M60" s="471">
        <f t="shared" si="10"/>
        <v>0</v>
      </c>
      <c r="N60" s="477" t="str">
        <f t="shared" si="11"/>
        <v/>
      </c>
      <c r="O60" s="470"/>
      <c r="P60" s="471"/>
      <c r="Q60" s="23"/>
      <c r="R60" s="27"/>
      <c r="S60" s="27"/>
      <c r="T60" s="27"/>
    </row>
    <row r="61" spans="1:20" x14ac:dyDescent="0.25">
      <c r="A61" s="907">
        <v>5344</v>
      </c>
      <c r="B61" s="472" t="s">
        <v>142</v>
      </c>
      <c r="C61" s="476">
        <v>394.95</v>
      </c>
      <c r="D61" s="476">
        <v>15.26</v>
      </c>
      <c r="E61" s="476">
        <v>46.13</v>
      </c>
      <c r="K61" s="469">
        <f t="shared" si="13"/>
        <v>300</v>
      </c>
      <c r="L61" s="496">
        <f t="shared" si="14"/>
        <v>300</v>
      </c>
      <c r="M61" s="471">
        <f t="shared" si="10"/>
        <v>0</v>
      </c>
      <c r="N61" s="477" t="str">
        <f t="shared" si="11"/>
        <v/>
      </c>
      <c r="O61" s="470"/>
      <c r="P61" s="471"/>
      <c r="Q61" s="23"/>
      <c r="R61" s="27"/>
      <c r="S61" s="27"/>
      <c r="T61" s="27"/>
    </row>
    <row r="62" spans="1:20" x14ac:dyDescent="0.25">
      <c r="A62" s="907">
        <v>5345</v>
      </c>
      <c r="B62" s="472" t="s">
        <v>143</v>
      </c>
      <c r="C62" s="476">
        <v>215.57</v>
      </c>
      <c r="D62" s="476">
        <v>993.7</v>
      </c>
      <c r="E62" s="476">
        <v>1101.8</v>
      </c>
      <c r="K62" s="469">
        <f t="shared" si="13"/>
        <v>1050</v>
      </c>
      <c r="L62" s="496">
        <f t="shared" si="14"/>
        <v>1050</v>
      </c>
      <c r="M62" s="471">
        <f t="shared" si="10"/>
        <v>0</v>
      </c>
      <c r="N62" s="477" t="str">
        <f t="shared" si="11"/>
        <v/>
      </c>
      <c r="O62" s="470"/>
      <c r="P62" s="471"/>
      <c r="Q62" s="23"/>
      <c r="R62" s="27"/>
      <c r="S62" s="27"/>
      <c r="T62" s="27"/>
    </row>
    <row r="63" spans="1:20" x14ac:dyDescent="0.25">
      <c r="A63" s="907">
        <v>5420</v>
      </c>
      <c r="B63" s="472" t="s">
        <v>144</v>
      </c>
      <c r="C63" s="468">
        <v>961.77</v>
      </c>
      <c r="D63" s="468">
        <v>902.7</v>
      </c>
      <c r="E63" s="468">
        <v>1272.0899999999999</v>
      </c>
      <c r="K63" s="469">
        <f t="shared" si="13"/>
        <v>2350</v>
      </c>
      <c r="L63" s="496">
        <f t="shared" si="14"/>
        <v>4500</v>
      </c>
      <c r="M63" s="471">
        <f t="shared" si="10"/>
        <v>2150</v>
      </c>
      <c r="N63" s="477">
        <f t="shared" si="11"/>
        <v>0.91490000000000005</v>
      </c>
      <c r="O63" s="470" t="s">
        <v>1793</v>
      </c>
      <c r="P63" s="471"/>
      <c r="Q63" s="23"/>
      <c r="R63" s="27"/>
      <c r="S63" s="27"/>
      <c r="T63" s="27"/>
    </row>
    <row r="64" spans="1:20" x14ac:dyDescent="0.25">
      <c r="A64" s="907">
        <v>5450</v>
      </c>
      <c r="B64" s="472" t="s">
        <v>12</v>
      </c>
      <c r="C64" s="482"/>
      <c r="D64" s="482">
        <v>105.99</v>
      </c>
      <c r="E64" s="482"/>
      <c r="K64" s="469">
        <f t="shared" si="13"/>
        <v>500</v>
      </c>
      <c r="L64" s="496">
        <f t="shared" si="14"/>
        <v>500</v>
      </c>
      <c r="M64" s="471">
        <f t="shared" si="10"/>
        <v>0</v>
      </c>
      <c r="N64" s="477" t="str">
        <f t="shared" si="11"/>
        <v/>
      </c>
      <c r="O64" s="470"/>
      <c r="P64" s="471"/>
      <c r="Q64" s="23"/>
      <c r="R64" s="27"/>
      <c r="S64" s="27"/>
      <c r="T64" s="27"/>
    </row>
    <row r="65" spans="1:20" x14ac:dyDescent="0.25">
      <c r="A65" s="907">
        <v>5581</v>
      </c>
      <c r="B65" s="472" t="s">
        <v>146</v>
      </c>
      <c r="C65" s="484">
        <v>69</v>
      </c>
      <c r="D65" s="484">
        <v>157.4</v>
      </c>
      <c r="E65" s="484">
        <v>88.4</v>
      </c>
      <c r="K65" s="469">
        <f t="shared" si="13"/>
        <v>200</v>
      </c>
      <c r="L65" s="496">
        <f t="shared" si="14"/>
        <v>200</v>
      </c>
      <c r="M65" s="471">
        <f t="shared" si="10"/>
        <v>0</v>
      </c>
      <c r="N65" s="477" t="str">
        <f t="shared" si="11"/>
        <v/>
      </c>
      <c r="O65" s="470"/>
      <c r="P65" s="471"/>
      <c r="Q65" s="23"/>
      <c r="R65" s="4"/>
      <c r="S65" s="4"/>
      <c r="T65" s="4"/>
    </row>
    <row r="66" spans="1:20" x14ac:dyDescent="0.25">
      <c r="A66" s="907">
        <v>5582</v>
      </c>
      <c r="B66" s="472" t="s">
        <v>23</v>
      </c>
      <c r="C66" s="482">
        <v>10.9</v>
      </c>
      <c r="D66" s="482"/>
      <c r="E66" s="482"/>
      <c r="K66" s="469">
        <f t="shared" si="13"/>
        <v>300</v>
      </c>
      <c r="L66" s="496">
        <f t="shared" si="14"/>
        <v>300</v>
      </c>
      <c r="M66" s="471">
        <f t="shared" si="10"/>
        <v>0</v>
      </c>
      <c r="N66" s="477" t="str">
        <f t="shared" si="11"/>
        <v/>
      </c>
      <c r="O66" s="470"/>
      <c r="P66" s="471"/>
      <c r="Q66" s="23"/>
      <c r="R66" s="4"/>
      <c r="S66" s="4"/>
      <c r="T66" s="4"/>
    </row>
    <row r="67" spans="1:20" x14ac:dyDescent="0.25">
      <c r="A67" s="907">
        <v>5590</v>
      </c>
      <c r="B67" s="472" t="s">
        <v>1001</v>
      </c>
      <c r="C67" s="482"/>
      <c r="D67" s="482"/>
      <c r="E67" s="482"/>
      <c r="K67" s="469">
        <f t="shared" si="13"/>
        <v>0</v>
      </c>
      <c r="L67" s="496">
        <f t="shared" si="14"/>
        <v>3000</v>
      </c>
      <c r="M67" s="471">
        <f t="shared" si="10"/>
        <v>3000</v>
      </c>
      <c r="N67" s="477">
        <f t="shared" si="11"/>
        <v>1</v>
      </c>
      <c r="O67" s="470" t="s">
        <v>1794</v>
      </c>
      <c r="P67" s="471"/>
      <c r="Q67" s="23"/>
      <c r="R67" s="4"/>
      <c r="S67" s="4"/>
      <c r="T67" s="4"/>
    </row>
    <row r="68" spans="1:20" x14ac:dyDescent="0.25">
      <c r="A68" s="907">
        <v>5710</v>
      </c>
      <c r="B68" s="472" t="s">
        <v>535</v>
      </c>
      <c r="C68" s="468">
        <v>798.35</v>
      </c>
      <c r="D68" s="468">
        <v>780.84</v>
      </c>
      <c r="E68" s="468">
        <v>851.39</v>
      </c>
      <c r="K68" s="469">
        <f t="shared" si="13"/>
        <v>1750</v>
      </c>
      <c r="L68" s="496">
        <f t="shared" si="14"/>
        <v>2500</v>
      </c>
      <c r="M68" s="471">
        <f t="shared" si="10"/>
        <v>750</v>
      </c>
      <c r="N68" s="477">
        <f t="shared" si="11"/>
        <v>0.42859999999999998</v>
      </c>
      <c r="O68" s="470" t="s">
        <v>1795</v>
      </c>
      <c r="P68" s="471"/>
      <c r="Q68" s="23"/>
      <c r="R68" s="4"/>
      <c r="S68" s="4"/>
      <c r="T68" s="4"/>
    </row>
    <row r="69" spans="1:20" ht="13.8" thickBot="1" x14ac:dyDescent="0.3">
      <c r="A69" s="907">
        <v>5730</v>
      </c>
      <c r="B69" s="472" t="s">
        <v>147</v>
      </c>
      <c r="C69" s="474">
        <v>2157</v>
      </c>
      <c r="D69" s="474">
        <v>1952</v>
      </c>
      <c r="E69" s="474">
        <v>1997</v>
      </c>
      <c r="K69" s="469">
        <f t="shared" si="13"/>
        <v>2500</v>
      </c>
      <c r="L69" s="496">
        <f t="shared" si="14"/>
        <v>2500</v>
      </c>
      <c r="M69" s="471">
        <f t="shared" si="10"/>
        <v>0</v>
      </c>
      <c r="N69" s="477" t="str">
        <f t="shared" si="11"/>
        <v/>
      </c>
      <c r="O69" s="470"/>
      <c r="P69" s="471"/>
      <c r="Q69" s="23"/>
      <c r="R69" s="4"/>
      <c r="S69" s="4"/>
      <c r="T69" s="4"/>
    </row>
    <row r="70" spans="1:20" x14ac:dyDescent="0.25">
      <c r="A70" s="876"/>
      <c r="B70" s="4"/>
      <c r="C70" s="23"/>
      <c r="D70" s="23"/>
      <c r="E70" s="23"/>
      <c r="F70" s="23"/>
      <c r="G70" s="23"/>
      <c r="K70" s="23"/>
      <c r="L70" s="23"/>
      <c r="M70" s="23"/>
      <c r="N70" s="4"/>
      <c r="O70" s="23"/>
      <c r="P70" s="23"/>
      <c r="Q70" s="23"/>
      <c r="R70" s="4"/>
      <c r="S70" s="4"/>
      <c r="T70" s="4"/>
    </row>
    <row r="71" spans="1:20" x14ac:dyDescent="0.25">
      <c r="A71" s="876"/>
      <c r="B71" s="4" t="s">
        <v>1363</v>
      </c>
      <c r="C71" s="23"/>
      <c r="D71" s="23"/>
      <c r="E71" s="23"/>
      <c r="F71" s="23"/>
      <c r="G71" s="23"/>
      <c r="K71" s="742">
        <f>SUM(K50:K70)</f>
        <v>194729</v>
      </c>
      <c r="L71" s="742">
        <f>SUM(L50:L70)</f>
        <v>313510</v>
      </c>
      <c r="M71" s="202">
        <f>+L71-K71</f>
        <v>118781</v>
      </c>
      <c r="N71" s="743">
        <f>IF(K71+L71&lt;&gt;0,IF(K71&lt;&gt;0,IF(M71&lt;&gt;0,ROUND((+M71/K71),4),""),1),"")</f>
        <v>0.61</v>
      </c>
      <c r="O71" s="23"/>
      <c r="P71" s="23"/>
      <c r="Q71" s="23"/>
      <c r="R71" s="4"/>
      <c r="S71" s="4"/>
      <c r="T71" s="4"/>
    </row>
    <row r="72" spans="1:20" x14ac:dyDescent="0.25">
      <c r="A72" s="876"/>
      <c r="B72" s="4"/>
      <c r="C72" s="23"/>
      <c r="D72" s="23"/>
      <c r="E72" s="23"/>
      <c r="F72" s="23"/>
      <c r="G72" s="23"/>
      <c r="H72" s="23"/>
      <c r="I72" s="23"/>
      <c r="J72" s="23"/>
      <c r="K72" s="23"/>
      <c r="L72" s="23"/>
      <c r="M72" s="23"/>
      <c r="N72" s="4"/>
      <c r="O72" s="23"/>
      <c r="P72" s="23"/>
      <c r="Q72" s="23"/>
      <c r="R72" s="4"/>
      <c r="S72" s="4"/>
      <c r="T72" s="4"/>
    </row>
    <row r="73" spans="1:20" x14ac:dyDescent="0.25">
      <c r="A73" s="876"/>
      <c r="B73" s="4"/>
      <c r="C73" s="23"/>
      <c r="D73" s="23"/>
      <c r="E73" s="23"/>
      <c r="F73" s="23"/>
      <c r="G73" s="23"/>
      <c r="H73" s="23"/>
      <c r="I73" s="23"/>
      <c r="J73" s="23"/>
      <c r="K73" s="23"/>
      <c r="L73" s="23"/>
      <c r="M73" s="23"/>
      <c r="N73" s="4"/>
      <c r="O73" s="23"/>
      <c r="P73" s="23"/>
      <c r="Q73" s="23"/>
      <c r="R73" s="4"/>
      <c r="S73" s="4"/>
      <c r="T73" s="4"/>
    </row>
    <row r="74" spans="1:20" x14ac:dyDescent="0.25">
      <c r="A74" s="876"/>
      <c r="B74" s="4"/>
      <c r="C74" s="23"/>
      <c r="D74" s="23"/>
      <c r="E74" s="23"/>
      <c r="F74" s="23"/>
      <c r="G74" s="23"/>
      <c r="H74" s="23"/>
      <c r="I74" s="23"/>
      <c r="J74" s="23"/>
      <c r="K74" s="23"/>
      <c r="L74" s="23"/>
      <c r="M74" s="23"/>
      <c r="N74" s="4"/>
      <c r="O74" s="23"/>
      <c r="P74" s="23"/>
      <c r="Q74" s="23"/>
      <c r="R74" s="4"/>
      <c r="S74" s="4"/>
      <c r="T74" s="4"/>
    </row>
    <row r="75" spans="1:20" x14ac:dyDescent="0.25">
      <c r="A75" s="876"/>
      <c r="B75" s="4"/>
      <c r="C75" s="23"/>
      <c r="D75" s="23"/>
      <c r="E75" s="23"/>
      <c r="F75" s="23"/>
      <c r="G75" s="23"/>
      <c r="H75" s="23"/>
      <c r="I75" s="23"/>
      <c r="J75" s="23"/>
      <c r="K75" s="23"/>
      <c r="L75" s="23"/>
      <c r="M75" s="23"/>
      <c r="N75" s="4"/>
      <c r="O75" s="23"/>
      <c r="P75" s="23"/>
      <c r="Q75" s="23"/>
      <c r="R75" s="4"/>
      <c r="S75" s="4"/>
      <c r="T75" s="4"/>
    </row>
    <row r="76" spans="1:20" x14ac:dyDescent="0.25">
      <c r="A76" s="876"/>
      <c r="B76" s="4"/>
      <c r="C76" s="23"/>
      <c r="D76" s="23"/>
      <c r="E76" s="23"/>
      <c r="F76" s="23"/>
      <c r="G76" s="23"/>
      <c r="H76" s="23"/>
      <c r="I76" s="23"/>
      <c r="J76" s="23"/>
      <c r="K76" s="23"/>
      <c r="L76" s="23"/>
      <c r="M76" s="23"/>
      <c r="N76" s="4"/>
      <c r="O76" s="23"/>
      <c r="P76" s="23"/>
      <c r="Q76" s="23"/>
      <c r="R76" s="4"/>
      <c r="S76" s="4"/>
      <c r="T76" s="4"/>
    </row>
    <row r="77" spans="1:20" x14ac:dyDescent="0.25">
      <c r="A77" s="876"/>
      <c r="B77" s="4"/>
      <c r="C77" s="23"/>
      <c r="D77" s="23"/>
      <c r="E77" s="23"/>
      <c r="F77" s="23"/>
      <c r="G77" s="23"/>
      <c r="H77" s="23"/>
      <c r="I77" s="23"/>
      <c r="J77" s="23"/>
      <c r="K77" s="23"/>
      <c r="L77" s="23"/>
      <c r="M77" s="23"/>
      <c r="N77" s="4"/>
      <c r="O77" s="23"/>
      <c r="P77" s="23"/>
      <c r="Q77" s="23"/>
      <c r="R77" s="4"/>
      <c r="S77" s="4"/>
      <c r="T77" s="4"/>
    </row>
    <row r="78" spans="1:20" x14ac:dyDescent="0.25">
      <c r="A78" s="876"/>
      <c r="B78" s="4"/>
      <c r="C78" s="23"/>
      <c r="D78" s="23"/>
      <c r="E78" s="23"/>
      <c r="F78" s="23"/>
      <c r="G78" s="23"/>
      <c r="H78" s="23"/>
      <c r="I78" s="23"/>
      <c r="J78" s="23"/>
      <c r="K78" s="23"/>
      <c r="L78" s="23"/>
      <c r="M78" s="23"/>
      <c r="N78" s="4"/>
      <c r="O78" s="23"/>
      <c r="P78" s="23"/>
      <c r="Q78" s="23"/>
      <c r="R78" s="4"/>
      <c r="S78" s="4"/>
      <c r="T78" s="4"/>
    </row>
    <row r="79" spans="1:20" x14ac:dyDescent="0.25">
      <c r="A79" s="876"/>
      <c r="B79" s="4"/>
      <c r="C79" s="23"/>
      <c r="D79" s="23"/>
      <c r="E79" s="23"/>
      <c r="F79" s="23"/>
      <c r="G79" s="23"/>
      <c r="H79" s="23"/>
      <c r="I79" s="23"/>
      <c r="J79" s="23"/>
      <c r="K79" s="23"/>
      <c r="L79" s="23"/>
      <c r="M79" s="23"/>
      <c r="N79" s="4"/>
      <c r="O79" s="23"/>
      <c r="P79" s="23"/>
      <c r="Q79" s="23"/>
      <c r="R79" s="4"/>
      <c r="S79" s="4"/>
      <c r="T79" s="4"/>
    </row>
    <row r="80" spans="1:20" x14ac:dyDescent="0.25">
      <c r="A80" s="876"/>
      <c r="B80" s="4"/>
      <c r="C80" s="23"/>
      <c r="D80" s="23"/>
      <c r="E80" s="23"/>
      <c r="F80" s="23"/>
      <c r="G80" s="23"/>
      <c r="H80" s="23"/>
      <c r="I80" s="23"/>
      <c r="J80" s="23"/>
      <c r="K80" s="23"/>
      <c r="L80" s="23"/>
      <c r="M80" s="23"/>
      <c r="N80" s="4"/>
      <c r="O80" s="23"/>
      <c r="P80" s="23"/>
      <c r="Q80" s="23"/>
      <c r="R80" s="4"/>
      <c r="S80" s="4"/>
      <c r="T80" s="4"/>
    </row>
    <row r="81" spans="1:20" x14ac:dyDescent="0.25">
      <c r="A81" s="876"/>
      <c r="B81" s="4"/>
      <c r="C81" s="23"/>
      <c r="D81" s="23"/>
      <c r="E81" s="23"/>
      <c r="F81" s="23"/>
      <c r="G81" s="23"/>
      <c r="H81" s="23"/>
      <c r="I81" s="23"/>
      <c r="J81" s="23"/>
      <c r="K81" s="23"/>
      <c r="L81" s="23"/>
      <c r="M81" s="23"/>
      <c r="N81" s="4"/>
      <c r="O81" s="23"/>
      <c r="P81" s="23"/>
      <c r="Q81" s="23"/>
      <c r="R81" s="4"/>
      <c r="S81" s="4"/>
      <c r="T81" s="4"/>
    </row>
    <row r="82" spans="1:20" x14ac:dyDescent="0.25">
      <c r="A82" s="876"/>
      <c r="B82" s="4"/>
      <c r="C82" s="23"/>
      <c r="D82" s="23"/>
      <c r="E82" s="23"/>
      <c r="F82" s="23"/>
      <c r="G82" s="23"/>
      <c r="H82" s="23"/>
      <c r="I82" s="23"/>
      <c r="J82" s="23"/>
      <c r="K82" s="23"/>
      <c r="L82" s="23"/>
      <c r="M82" s="23"/>
      <c r="N82" s="4"/>
      <c r="O82" s="23"/>
      <c r="P82" s="23"/>
      <c r="Q82" s="23"/>
      <c r="R82" s="4"/>
      <c r="S82" s="4"/>
      <c r="T82" s="4"/>
    </row>
    <row r="83" spans="1:20" x14ac:dyDescent="0.25">
      <c r="A83" s="876"/>
      <c r="B83" s="4"/>
      <c r="C83" s="23"/>
      <c r="D83" s="23"/>
      <c r="E83" s="23"/>
      <c r="F83" s="23"/>
      <c r="G83" s="23"/>
      <c r="H83" s="23"/>
      <c r="I83" s="23"/>
      <c r="J83" s="23"/>
      <c r="K83" s="23"/>
      <c r="L83" s="23"/>
      <c r="M83" s="23"/>
      <c r="N83" s="4"/>
      <c r="O83" s="23"/>
      <c r="P83" s="23"/>
      <c r="Q83" s="23"/>
      <c r="R83" s="4"/>
      <c r="S83" s="4"/>
      <c r="T83" s="4"/>
    </row>
    <row r="84" spans="1:20" x14ac:dyDescent="0.25">
      <c r="A84" s="876"/>
      <c r="B84" s="4"/>
      <c r="C84" s="23"/>
      <c r="D84" s="23"/>
      <c r="E84" s="23"/>
      <c r="F84" s="23"/>
      <c r="G84" s="23"/>
      <c r="H84" s="23"/>
      <c r="I84" s="23"/>
      <c r="J84" s="23"/>
      <c r="K84" s="23"/>
      <c r="L84" s="23"/>
      <c r="M84" s="23"/>
      <c r="N84" s="4"/>
      <c r="O84" s="23"/>
      <c r="P84" s="23"/>
      <c r="Q84" s="23"/>
      <c r="R84" s="4"/>
      <c r="S84" s="4"/>
      <c r="T84" s="4"/>
    </row>
    <row r="85" spans="1:20" x14ac:dyDescent="0.25">
      <c r="A85" s="876"/>
      <c r="B85" s="4"/>
      <c r="C85" s="23"/>
      <c r="D85" s="23"/>
      <c r="E85" s="23"/>
      <c r="F85" s="23"/>
      <c r="G85" s="23"/>
      <c r="H85" s="23"/>
      <c r="I85" s="23"/>
      <c r="J85" s="23"/>
      <c r="K85" s="23"/>
      <c r="L85" s="23"/>
      <c r="M85" s="23"/>
      <c r="N85" s="4"/>
      <c r="O85" s="23"/>
      <c r="P85" s="23"/>
      <c r="Q85" s="23"/>
      <c r="R85" s="4"/>
      <c r="S85" s="4"/>
      <c r="T85" s="4"/>
    </row>
    <row r="86" spans="1:20" x14ac:dyDescent="0.25">
      <c r="A86" s="876"/>
      <c r="B86" s="4"/>
      <c r="C86" s="23"/>
      <c r="D86" s="23"/>
      <c r="E86" s="23"/>
      <c r="F86" s="23"/>
      <c r="G86" s="23"/>
      <c r="H86" s="23"/>
      <c r="I86" s="23"/>
      <c r="J86" s="23"/>
      <c r="K86" s="23"/>
      <c r="L86" s="23"/>
      <c r="M86" s="23"/>
      <c r="N86" s="4"/>
      <c r="O86" s="23"/>
      <c r="P86" s="23"/>
      <c r="Q86" s="23"/>
      <c r="R86" s="4"/>
      <c r="S86" s="4"/>
      <c r="T86" s="4"/>
    </row>
    <row r="87" spans="1:20" x14ac:dyDescent="0.25">
      <c r="A87" s="876"/>
      <c r="B87" s="4"/>
      <c r="C87" s="23"/>
      <c r="D87" s="23"/>
      <c r="E87" s="23"/>
      <c r="F87" s="23"/>
      <c r="G87" s="23"/>
      <c r="H87" s="23"/>
      <c r="I87" s="23"/>
      <c r="J87" s="23"/>
      <c r="K87" s="23"/>
      <c r="L87" s="23"/>
      <c r="M87" s="23"/>
      <c r="N87" s="4"/>
      <c r="O87" s="23"/>
      <c r="P87" s="23"/>
      <c r="Q87" s="23"/>
      <c r="R87" s="4"/>
      <c r="S87" s="4"/>
      <c r="T87" s="4"/>
    </row>
    <row r="88" spans="1:20" x14ac:dyDescent="0.25">
      <c r="A88" s="876"/>
      <c r="B88" s="4"/>
      <c r="C88" s="23"/>
      <c r="D88" s="23"/>
      <c r="E88" s="23"/>
      <c r="F88" s="23"/>
      <c r="G88" s="23"/>
      <c r="H88" s="23"/>
      <c r="I88" s="23"/>
      <c r="J88" s="23"/>
      <c r="K88" s="23"/>
      <c r="L88" s="23"/>
      <c r="M88" s="23"/>
      <c r="N88" s="4"/>
      <c r="O88" s="23"/>
      <c r="P88" s="23"/>
      <c r="Q88" s="23"/>
      <c r="R88" s="4"/>
      <c r="S88" s="4"/>
      <c r="T88" s="4"/>
    </row>
    <row r="89" spans="1:20" x14ac:dyDescent="0.25">
      <c r="A89" s="876"/>
      <c r="B89" s="4"/>
      <c r="C89" s="23"/>
      <c r="D89" s="23"/>
      <c r="E89" s="23"/>
      <c r="F89" s="23"/>
      <c r="G89" s="23"/>
      <c r="H89" s="23"/>
      <c r="I89" s="23"/>
      <c r="J89" s="23"/>
      <c r="K89" s="23"/>
      <c r="L89" s="23"/>
      <c r="M89" s="23"/>
      <c r="N89" s="4"/>
      <c r="O89" s="23"/>
      <c r="P89" s="23"/>
      <c r="Q89" s="23"/>
      <c r="R89" s="4"/>
      <c r="S89" s="4"/>
      <c r="T89" s="4"/>
    </row>
    <row r="90" spans="1:20" x14ac:dyDescent="0.25">
      <c r="A90" s="876"/>
      <c r="B90" s="4"/>
      <c r="C90" s="23"/>
      <c r="D90" s="23"/>
      <c r="E90" s="23"/>
      <c r="F90" s="23"/>
      <c r="G90" s="23"/>
      <c r="H90" s="23"/>
      <c r="I90" s="23"/>
      <c r="J90" s="23"/>
      <c r="K90" s="23"/>
      <c r="L90" s="23"/>
      <c r="M90" s="23"/>
      <c r="N90" s="4"/>
      <c r="O90" s="23"/>
      <c r="P90" s="23"/>
      <c r="Q90" s="23"/>
      <c r="R90" s="4"/>
      <c r="S90" s="4"/>
      <c r="T90" s="4"/>
    </row>
    <row r="91" spans="1:20" x14ac:dyDescent="0.25">
      <c r="A91" s="876"/>
      <c r="B91" s="4"/>
      <c r="C91" s="23"/>
      <c r="D91" s="23"/>
      <c r="E91" s="23"/>
      <c r="F91" s="23"/>
      <c r="G91" s="23"/>
      <c r="H91" s="23"/>
      <c r="I91" s="23"/>
      <c r="J91" s="23"/>
      <c r="K91" s="23"/>
      <c r="L91" s="23"/>
      <c r="M91" s="23"/>
      <c r="N91" s="4"/>
      <c r="O91" s="23"/>
      <c r="P91" s="23"/>
      <c r="Q91" s="23"/>
      <c r="R91" s="4"/>
      <c r="S91" s="4"/>
      <c r="T91" s="4"/>
    </row>
    <row r="92" spans="1:20" x14ac:dyDescent="0.25">
      <c r="A92" s="876"/>
      <c r="B92" s="4"/>
      <c r="C92" s="23"/>
      <c r="D92" s="23"/>
      <c r="E92" s="23"/>
      <c r="F92" s="23"/>
      <c r="G92" s="23"/>
      <c r="H92" s="23"/>
      <c r="I92" s="23"/>
      <c r="J92" s="23"/>
      <c r="K92" s="23"/>
      <c r="L92" s="23"/>
      <c r="M92" s="23"/>
      <c r="N92" s="4"/>
      <c r="O92" s="23"/>
      <c r="P92" s="23"/>
      <c r="Q92" s="23"/>
      <c r="R92" s="4"/>
      <c r="S92" s="4"/>
      <c r="T92" s="4"/>
    </row>
    <row r="93" spans="1:20" x14ac:dyDescent="0.25">
      <c r="A93" s="876"/>
      <c r="B93" s="4"/>
      <c r="C93" s="23"/>
      <c r="D93" s="23"/>
      <c r="E93" s="23"/>
      <c r="F93" s="23"/>
      <c r="G93" s="23"/>
      <c r="H93" s="23"/>
      <c r="I93" s="23"/>
      <c r="J93" s="23"/>
      <c r="K93" s="23"/>
      <c r="L93" s="23"/>
      <c r="M93" s="23"/>
      <c r="N93" s="4"/>
      <c r="O93" s="23"/>
      <c r="P93" s="23"/>
      <c r="Q93" s="23"/>
      <c r="R93" s="4"/>
      <c r="S93" s="4"/>
      <c r="T93" s="4"/>
    </row>
    <row r="94" spans="1:20" x14ac:dyDescent="0.25">
      <c r="A94" s="876"/>
      <c r="B94" s="4"/>
      <c r="C94" s="23"/>
      <c r="D94" s="23"/>
      <c r="E94" s="23"/>
      <c r="F94" s="23"/>
      <c r="G94" s="23"/>
      <c r="H94" s="23"/>
      <c r="I94" s="23"/>
      <c r="J94" s="23"/>
      <c r="K94" s="23"/>
      <c r="L94" s="23"/>
      <c r="M94" s="23"/>
      <c r="N94" s="4"/>
      <c r="O94" s="23"/>
      <c r="P94" s="23"/>
      <c r="Q94" s="23"/>
      <c r="R94" s="4"/>
      <c r="S94" s="4"/>
      <c r="T94" s="4"/>
    </row>
    <row r="95" spans="1:20" x14ac:dyDescent="0.25">
      <c r="A95" s="876"/>
      <c r="B95" s="4"/>
      <c r="C95" s="23"/>
      <c r="D95" s="23"/>
      <c r="E95" s="23"/>
      <c r="F95" s="23"/>
      <c r="G95" s="23"/>
      <c r="H95" s="23"/>
      <c r="I95" s="23"/>
      <c r="J95" s="23"/>
      <c r="K95" s="23"/>
      <c r="L95" s="23"/>
      <c r="M95" s="23"/>
      <c r="N95" s="4"/>
      <c r="O95" s="23"/>
      <c r="P95" s="23"/>
      <c r="Q95" s="23"/>
      <c r="R95" s="4"/>
      <c r="S95" s="4"/>
      <c r="T95" s="4"/>
    </row>
    <row r="96" spans="1:20" x14ac:dyDescent="0.25">
      <c r="A96" s="876"/>
      <c r="B96" s="4"/>
      <c r="C96" s="23"/>
      <c r="D96" s="23"/>
      <c r="E96" s="23"/>
      <c r="F96" s="23"/>
      <c r="G96" s="23"/>
      <c r="H96" s="23"/>
      <c r="I96" s="23"/>
      <c r="J96" s="23"/>
      <c r="K96" s="23"/>
      <c r="L96" s="23"/>
      <c r="M96" s="23"/>
      <c r="N96" s="4"/>
      <c r="O96" s="23"/>
      <c r="P96" s="23"/>
      <c r="Q96" s="23"/>
      <c r="R96" s="4"/>
      <c r="S96" s="4"/>
      <c r="T96" s="4"/>
    </row>
    <row r="97" spans="1:20" x14ac:dyDescent="0.25">
      <c r="A97" s="876"/>
      <c r="B97" s="4"/>
      <c r="C97" s="23"/>
      <c r="D97" s="23"/>
      <c r="E97" s="23"/>
      <c r="F97" s="23"/>
      <c r="G97" s="23"/>
      <c r="H97" s="23"/>
      <c r="I97" s="23"/>
      <c r="J97" s="23"/>
      <c r="K97" s="23"/>
      <c r="L97" s="23"/>
      <c r="M97" s="23"/>
      <c r="N97" s="4"/>
      <c r="O97" s="23"/>
      <c r="P97" s="23"/>
      <c r="Q97" s="23"/>
      <c r="R97" s="4"/>
      <c r="S97" s="4"/>
      <c r="T97" s="4"/>
    </row>
    <row r="98" spans="1:20" x14ac:dyDescent="0.25">
      <c r="A98" s="876"/>
      <c r="B98" s="4"/>
      <c r="C98" s="23"/>
      <c r="D98" s="23"/>
      <c r="E98" s="23"/>
      <c r="F98" s="23"/>
      <c r="G98" s="23"/>
      <c r="H98" s="23"/>
      <c r="I98" s="23"/>
      <c r="J98" s="23"/>
      <c r="K98" s="23"/>
      <c r="L98" s="23"/>
      <c r="M98" s="23"/>
      <c r="N98" s="4"/>
      <c r="O98" s="23"/>
      <c r="P98" s="23"/>
      <c r="Q98" s="23"/>
      <c r="R98" s="4"/>
      <c r="S98" s="4"/>
      <c r="T98" s="4"/>
    </row>
    <row r="99" spans="1:20" x14ac:dyDescent="0.25">
      <c r="A99" s="876"/>
      <c r="B99" s="4"/>
      <c r="C99" s="23"/>
      <c r="D99" s="23"/>
      <c r="E99" s="23"/>
      <c r="F99" s="23"/>
      <c r="G99" s="23"/>
      <c r="H99" s="23"/>
      <c r="I99" s="23"/>
      <c r="J99" s="23"/>
      <c r="K99" s="23"/>
      <c r="L99" s="23"/>
      <c r="M99" s="23"/>
      <c r="N99" s="4"/>
      <c r="O99" s="23"/>
      <c r="P99" s="23"/>
      <c r="Q99" s="23"/>
      <c r="R99" s="4"/>
      <c r="S99" s="4"/>
      <c r="T99" s="4"/>
    </row>
    <row r="100" spans="1:20" x14ac:dyDescent="0.25">
      <c r="A100" s="876"/>
      <c r="B100" s="4"/>
      <c r="C100" s="23"/>
      <c r="D100" s="23"/>
      <c r="E100" s="23"/>
      <c r="F100" s="23"/>
      <c r="G100" s="23"/>
      <c r="H100" s="23"/>
      <c r="I100" s="23"/>
      <c r="J100" s="23"/>
      <c r="K100" s="23"/>
      <c r="L100" s="23"/>
      <c r="M100" s="23"/>
      <c r="N100" s="4"/>
      <c r="O100" s="23"/>
      <c r="P100" s="23"/>
      <c r="Q100" s="23"/>
      <c r="R100" s="4"/>
      <c r="S100" s="4"/>
      <c r="T100" s="4"/>
    </row>
    <row r="101" spans="1:20" x14ac:dyDescent="0.25">
      <c r="A101" s="876"/>
      <c r="B101" s="4"/>
      <c r="C101" s="23"/>
      <c r="D101" s="23"/>
      <c r="E101" s="23"/>
      <c r="F101" s="23"/>
      <c r="G101" s="23"/>
      <c r="H101" s="23"/>
      <c r="I101" s="23"/>
      <c r="J101" s="23"/>
      <c r="K101" s="23"/>
      <c r="L101" s="23"/>
      <c r="M101" s="23"/>
      <c r="N101" s="4"/>
      <c r="O101" s="23"/>
      <c r="P101" s="23"/>
      <c r="Q101" s="23"/>
      <c r="R101" s="4"/>
      <c r="S101" s="4"/>
      <c r="T101" s="4"/>
    </row>
    <row r="102" spans="1:20" x14ac:dyDescent="0.25">
      <c r="A102" s="876"/>
      <c r="B102" s="4"/>
      <c r="C102" s="23"/>
      <c r="D102" s="23"/>
      <c r="E102" s="23"/>
      <c r="F102" s="23"/>
      <c r="G102" s="23"/>
      <c r="H102" s="23"/>
      <c r="I102" s="23"/>
      <c r="J102" s="23"/>
      <c r="K102" s="23"/>
      <c r="L102" s="23"/>
      <c r="M102" s="23"/>
      <c r="N102" s="4"/>
      <c r="O102" s="23"/>
      <c r="P102" s="23"/>
      <c r="Q102" s="23"/>
      <c r="R102" s="4"/>
      <c r="S102" s="4"/>
      <c r="T102" s="4"/>
    </row>
    <row r="103" spans="1:20" x14ac:dyDescent="0.25">
      <c r="A103" s="876"/>
      <c r="B103" s="4"/>
      <c r="C103" s="23"/>
      <c r="D103" s="23"/>
      <c r="E103" s="23"/>
      <c r="F103" s="23"/>
      <c r="G103" s="23"/>
      <c r="H103" s="23"/>
      <c r="I103" s="23"/>
      <c r="J103" s="23"/>
      <c r="K103" s="23"/>
      <c r="L103" s="23"/>
      <c r="M103" s="23"/>
      <c r="N103" s="4"/>
      <c r="O103" s="23"/>
      <c r="P103" s="23"/>
      <c r="Q103" s="23"/>
      <c r="R103" s="4"/>
      <c r="S103" s="4"/>
      <c r="T103" s="4"/>
    </row>
    <row r="104" spans="1:20" x14ac:dyDescent="0.25">
      <c r="A104" s="876"/>
      <c r="B104" s="4"/>
      <c r="C104" s="23"/>
      <c r="D104" s="23"/>
      <c r="E104" s="23"/>
      <c r="F104" s="23"/>
      <c r="G104" s="23"/>
      <c r="H104" s="23"/>
      <c r="I104" s="23"/>
      <c r="J104" s="23"/>
      <c r="K104" s="23"/>
      <c r="L104" s="23"/>
      <c r="M104" s="23"/>
      <c r="N104" s="4"/>
      <c r="O104" s="23"/>
      <c r="P104" s="23"/>
      <c r="Q104" s="23"/>
      <c r="R104" s="4"/>
      <c r="S104" s="4"/>
      <c r="T104" s="4"/>
    </row>
    <row r="105" spans="1:20" x14ac:dyDescent="0.25">
      <c r="A105" s="876"/>
      <c r="B105" s="4"/>
      <c r="C105" s="23"/>
      <c r="D105" s="23"/>
      <c r="E105" s="23"/>
      <c r="F105" s="23"/>
      <c r="G105" s="23"/>
      <c r="H105" s="23"/>
      <c r="I105" s="23"/>
      <c r="J105" s="23"/>
      <c r="K105" s="23"/>
      <c r="L105" s="23"/>
      <c r="M105" s="23"/>
      <c r="N105" s="4"/>
      <c r="O105" s="23"/>
      <c r="P105" s="23"/>
      <c r="Q105" s="23"/>
      <c r="R105" s="4"/>
      <c r="S105" s="4"/>
      <c r="T105" s="4"/>
    </row>
    <row r="106" spans="1:20" x14ac:dyDescent="0.25">
      <c r="A106" s="876"/>
      <c r="B106" s="4"/>
      <c r="C106" s="23"/>
      <c r="D106" s="23"/>
      <c r="E106" s="23"/>
      <c r="F106" s="23"/>
      <c r="G106" s="23"/>
      <c r="H106" s="23"/>
      <c r="I106" s="23"/>
      <c r="J106" s="23"/>
      <c r="K106" s="23"/>
      <c r="L106" s="23"/>
      <c r="M106" s="23"/>
      <c r="N106" s="4"/>
      <c r="O106" s="23"/>
      <c r="P106" s="23"/>
      <c r="Q106" s="23"/>
      <c r="R106" s="4"/>
      <c r="S106" s="4"/>
      <c r="T106" s="4"/>
    </row>
    <row r="107" spans="1:20" x14ac:dyDescent="0.25">
      <c r="A107" s="876"/>
      <c r="B107" s="4"/>
      <c r="C107" s="23"/>
      <c r="D107" s="23"/>
      <c r="E107" s="23"/>
      <c r="F107" s="23"/>
      <c r="G107" s="23"/>
      <c r="H107" s="23"/>
      <c r="I107" s="23"/>
      <c r="J107" s="23"/>
      <c r="K107" s="23"/>
      <c r="L107" s="23"/>
      <c r="M107" s="23"/>
      <c r="N107" s="4"/>
      <c r="O107" s="23"/>
      <c r="P107" s="23"/>
      <c r="Q107" s="23"/>
      <c r="R107" s="4"/>
      <c r="S107" s="4"/>
      <c r="T107" s="4"/>
    </row>
    <row r="108" spans="1:20" x14ac:dyDescent="0.25">
      <c r="A108" s="876"/>
      <c r="B108" s="4"/>
      <c r="C108" s="23"/>
      <c r="D108" s="23"/>
      <c r="E108" s="23"/>
      <c r="F108" s="23"/>
      <c r="G108" s="23"/>
      <c r="H108" s="23"/>
      <c r="I108" s="23"/>
      <c r="J108" s="23"/>
      <c r="K108" s="23"/>
      <c r="L108" s="23"/>
      <c r="M108" s="23"/>
      <c r="N108" s="4"/>
      <c r="O108" s="23"/>
      <c r="P108" s="23"/>
      <c r="Q108" s="23"/>
      <c r="R108" s="4"/>
      <c r="S108" s="4"/>
      <c r="T108" s="4"/>
    </row>
    <row r="109" spans="1:20" x14ac:dyDescent="0.25">
      <c r="A109" s="876"/>
      <c r="B109" s="4"/>
      <c r="C109" s="23"/>
      <c r="D109" s="23"/>
      <c r="E109" s="23"/>
      <c r="F109" s="23"/>
      <c r="G109" s="23"/>
      <c r="H109" s="23"/>
      <c r="I109" s="23"/>
      <c r="J109" s="23"/>
      <c r="K109" s="23"/>
      <c r="L109" s="23"/>
      <c r="M109" s="23"/>
      <c r="N109" s="4"/>
      <c r="O109" s="23"/>
      <c r="P109" s="23"/>
      <c r="Q109" s="23"/>
      <c r="R109" s="4"/>
      <c r="S109" s="4"/>
      <c r="T109" s="4"/>
    </row>
    <row r="110" spans="1:20" x14ac:dyDescent="0.25">
      <c r="A110" s="876"/>
      <c r="B110" s="4"/>
      <c r="C110" s="23"/>
      <c r="D110" s="23"/>
      <c r="E110" s="23"/>
      <c r="F110" s="23"/>
      <c r="G110" s="23"/>
      <c r="H110" s="23"/>
      <c r="I110" s="23"/>
      <c r="J110" s="23"/>
      <c r="K110" s="23"/>
      <c r="L110" s="23"/>
      <c r="M110" s="23"/>
      <c r="N110" s="4"/>
      <c r="O110" s="23"/>
      <c r="P110" s="23"/>
      <c r="Q110" s="23"/>
      <c r="R110" s="4"/>
      <c r="S110" s="4"/>
      <c r="T110" s="4"/>
    </row>
    <row r="111" spans="1:20" x14ac:dyDescent="0.25">
      <c r="A111" s="876"/>
      <c r="B111" s="4"/>
      <c r="C111" s="23"/>
      <c r="D111" s="23"/>
      <c r="E111" s="23"/>
      <c r="F111" s="23"/>
      <c r="G111" s="23"/>
      <c r="H111" s="23"/>
      <c r="I111" s="23"/>
      <c r="J111" s="23"/>
      <c r="K111" s="23"/>
      <c r="L111" s="23"/>
      <c r="M111" s="23"/>
      <c r="N111" s="4"/>
      <c r="O111" s="23"/>
      <c r="P111" s="23"/>
      <c r="Q111" s="23"/>
      <c r="R111" s="4"/>
      <c r="S111" s="4"/>
      <c r="T111" s="4"/>
    </row>
    <row r="112" spans="1:20" x14ac:dyDescent="0.25">
      <c r="A112" s="876"/>
      <c r="B112" s="4"/>
      <c r="C112" s="23"/>
      <c r="D112" s="23"/>
      <c r="E112" s="23"/>
      <c r="F112" s="23"/>
      <c r="G112" s="23"/>
      <c r="H112" s="23"/>
      <c r="I112" s="23"/>
      <c r="J112" s="23"/>
      <c r="K112" s="23"/>
      <c r="L112" s="23"/>
      <c r="M112" s="23"/>
      <c r="N112" s="4"/>
      <c r="O112" s="23"/>
      <c r="P112" s="23"/>
      <c r="Q112" s="23"/>
      <c r="R112" s="4"/>
      <c r="S112" s="4"/>
      <c r="T112" s="4"/>
    </row>
    <row r="113" spans="3:3" x14ac:dyDescent="0.25">
      <c r="C113" s="114"/>
    </row>
    <row r="114" spans="3:3" x14ac:dyDescent="0.25">
      <c r="C114" s="114"/>
    </row>
    <row r="115" spans="3:3" x14ac:dyDescent="0.25">
      <c r="C115" s="114"/>
    </row>
    <row r="116" spans="3:3" x14ac:dyDescent="0.25">
      <c r="C116" s="114"/>
    </row>
    <row r="117" spans="3:3" x14ac:dyDescent="0.25">
      <c r="C117" s="114"/>
    </row>
    <row r="118" spans="3:3" x14ac:dyDescent="0.25">
      <c r="C118" s="114"/>
    </row>
    <row r="119" spans="3:3" x14ac:dyDescent="0.25">
      <c r="C119" s="114"/>
    </row>
    <row r="120" spans="3:3" x14ac:dyDescent="0.25">
      <c r="C120" s="114"/>
    </row>
    <row r="121" spans="3:3" x14ac:dyDescent="0.25">
      <c r="C121" s="114"/>
    </row>
    <row r="122" spans="3:3" x14ac:dyDescent="0.25">
      <c r="C122" s="114"/>
    </row>
    <row r="123" spans="3:3" x14ac:dyDescent="0.25">
      <c r="C123" s="114"/>
    </row>
    <row r="124" spans="3:3" x14ac:dyDescent="0.25">
      <c r="C124" s="114"/>
    </row>
    <row r="125" spans="3:3" x14ac:dyDescent="0.25">
      <c r="C125" s="114"/>
    </row>
    <row r="126" spans="3:3" x14ac:dyDescent="0.25">
      <c r="C126" s="114"/>
    </row>
    <row r="127" spans="3:3" x14ac:dyDescent="0.25">
      <c r="C127" s="114"/>
    </row>
    <row r="128" spans="3:3" x14ac:dyDescent="0.25">
      <c r="C128" s="114"/>
    </row>
    <row r="129" spans="3:3" x14ac:dyDescent="0.25">
      <c r="C129" s="114"/>
    </row>
    <row r="130" spans="3:3" x14ac:dyDescent="0.25">
      <c r="C130" s="114"/>
    </row>
    <row r="131" spans="3:3" x14ac:dyDescent="0.25">
      <c r="C131" s="114"/>
    </row>
    <row r="132" spans="3:3" x14ac:dyDescent="0.25">
      <c r="C132" s="114"/>
    </row>
    <row r="133" spans="3:3" x14ac:dyDescent="0.25">
      <c r="C133" s="114"/>
    </row>
    <row r="134" spans="3:3" x14ac:dyDescent="0.25">
      <c r="C134" s="114"/>
    </row>
    <row r="135" spans="3:3" x14ac:dyDescent="0.25">
      <c r="C135" s="114"/>
    </row>
    <row r="136" spans="3:3" x14ac:dyDescent="0.25">
      <c r="C136" s="114"/>
    </row>
    <row r="137" spans="3:3" x14ac:dyDescent="0.25">
      <c r="C137" s="114"/>
    </row>
    <row r="138" spans="3:3" x14ac:dyDescent="0.25">
      <c r="C138" s="114"/>
    </row>
    <row r="139" spans="3:3" x14ac:dyDescent="0.25">
      <c r="C139" s="114"/>
    </row>
    <row r="140" spans="3:3" x14ac:dyDescent="0.25">
      <c r="C140" s="114"/>
    </row>
    <row r="141" spans="3:3" x14ac:dyDescent="0.25">
      <c r="C141" s="114"/>
    </row>
    <row r="142" spans="3:3" x14ac:dyDescent="0.25">
      <c r="C142" s="114"/>
    </row>
    <row r="143" spans="3:3" x14ac:dyDescent="0.25">
      <c r="C143" s="114"/>
    </row>
    <row r="144" spans="3:3" x14ac:dyDescent="0.25">
      <c r="C144" s="114"/>
    </row>
    <row r="145" spans="3:3" x14ac:dyDescent="0.25">
      <c r="C145" s="114"/>
    </row>
    <row r="146" spans="3:3" x14ac:dyDescent="0.25">
      <c r="C146" s="114"/>
    </row>
    <row r="147" spans="3:3" x14ac:dyDescent="0.25">
      <c r="C147" s="114"/>
    </row>
    <row r="148" spans="3:3" x14ac:dyDescent="0.25">
      <c r="C148" s="114"/>
    </row>
    <row r="149" spans="3:3" x14ac:dyDescent="0.25">
      <c r="C149" s="114"/>
    </row>
    <row r="150" spans="3:3" x14ac:dyDescent="0.25">
      <c r="C150" s="114"/>
    </row>
    <row r="151" spans="3:3" x14ac:dyDescent="0.25">
      <c r="C151" s="114"/>
    </row>
    <row r="152" spans="3:3" x14ac:dyDescent="0.25">
      <c r="C152" s="114"/>
    </row>
    <row r="153" spans="3:3" x14ac:dyDescent="0.25">
      <c r="C153" s="114"/>
    </row>
    <row r="154" spans="3:3" x14ac:dyDescent="0.25">
      <c r="C154" s="114"/>
    </row>
    <row r="155" spans="3:3" x14ac:dyDescent="0.25">
      <c r="C155" s="114"/>
    </row>
    <row r="156" spans="3:3" x14ac:dyDescent="0.25">
      <c r="C156" s="114"/>
    </row>
    <row r="157" spans="3:3" x14ac:dyDescent="0.25">
      <c r="C157" s="114"/>
    </row>
    <row r="158" spans="3:3" x14ac:dyDescent="0.25">
      <c r="C158" s="114"/>
    </row>
    <row r="159" spans="3:3" x14ac:dyDescent="0.25">
      <c r="C159" s="114"/>
    </row>
    <row r="160" spans="3:3" x14ac:dyDescent="0.25">
      <c r="C160" s="114"/>
    </row>
    <row r="161" spans="3:3" x14ac:dyDescent="0.25">
      <c r="C161" s="114"/>
    </row>
    <row r="162" spans="3:3" x14ac:dyDescent="0.25">
      <c r="C162" s="114"/>
    </row>
    <row r="163" spans="3:3" x14ac:dyDescent="0.25">
      <c r="C163" s="114"/>
    </row>
  </sheetData>
  <phoneticPr fontId="0" type="noConversion"/>
  <hyperlinks>
    <hyperlink ref="A1" location="'Working Budget with funding det'!A1" display="Main " xr:uid="{00000000-0004-0000-0B00-000000000000}"/>
    <hyperlink ref="B1" location="'Table of Contents'!A1" display="TOC" xr:uid="{00000000-0004-0000-0B00-000001000000}"/>
  </hyperlinks>
  <pageMargins left="0.75" right="0.75" top="1" bottom="1" header="0.5" footer="0.5"/>
  <pageSetup fitToHeight="0" orientation="landscape" horizontalDpi="300" verticalDpi="300" r:id="rId1"/>
  <headerFooter alignWithMargins="0">
    <oddFooter>&amp;L&amp;D     &amp;T&amp;C &amp;F&amp;R&amp;A   &amp;P</oddFooter>
  </headerFooter>
  <rowBreaks count="1" manualBreakCount="1">
    <brk id="39"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7A7C068C8668B49BEE35E78F7C6470F" ma:contentTypeVersion="11" ma:contentTypeDescription="Create a new document." ma:contentTypeScope="" ma:versionID="eee02dd30b8909e8c3de6e7212a75180">
  <xsd:schema xmlns:xsd="http://www.w3.org/2001/XMLSchema" xmlns:xs="http://www.w3.org/2001/XMLSchema" xmlns:p="http://schemas.microsoft.com/office/2006/metadata/properties" xmlns:ns2="59a1a659-2450-4b3d-ae2b-17700db09355" targetNamespace="http://schemas.microsoft.com/office/2006/metadata/properties" ma:root="true" ma:fieldsID="66dde167376b9216e9c84a6359860819" ns2:_="">
    <xsd:import namespace="59a1a659-2450-4b3d-ae2b-17700db0935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a1a659-2450-4b3d-ae2b-17700db093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77D906-675B-4426-9BAC-47254928B114}">
  <ds:schemaRefs>
    <ds:schemaRef ds:uri="http://schemas.microsoft.com/sharepoint/v3/contenttype/forms"/>
  </ds:schemaRefs>
</ds:datastoreItem>
</file>

<file path=customXml/itemProps2.xml><?xml version="1.0" encoding="utf-8"?>
<ds:datastoreItem xmlns:ds="http://schemas.openxmlformats.org/officeDocument/2006/customXml" ds:itemID="{32B54F09-4363-431D-B79C-4D7AB1FD7FA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456D060-2C5C-4CD4-9739-42A1C7AC4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a1a659-2450-4b3d-ae2b-17700db093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68</vt:i4>
      </vt:variant>
      <vt:variant>
        <vt:lpstr>Named Ranges</vt:lpstr>
      </vt:variant>
      <vt:variant>
        <vt:i4>72</vt:i4>
      </vt:variant>
    </vt:vector>
  </HeadingPairs>
  <TitlesOfParts>
    <vt:vector size="140" baseType="lpstr">
      <vt:lpstr>To Do and Changes</vt:lpstr>
      <vt:lpstr>Est WPCF Rate Incr</vt:lpstr>
      <vt:lpstr>Revenue Projections Detail</vt:lpstr>
      <vt:lpstr>Affordable Assessment</vt:lpstr>
      <vt:lpstr>Financial Policy Numbers</vt:lpstr>
      <vt:lpstr>Working Budget with funding det</vt:lpstr>
      <vt:lpstr>Budget Summary</vt:lpstr>
      <vt:lpstr>113 Town Mtg</vt:lpstr>
      <vt:lpstr>122 Selectboard</vt:lpstr>
      <vt:lpstr>131 Fin Comm</vt:lpstr>
      <vt:lpstr>132 Reserve Fund</vt:lpstr>
      <vt:lpstr>135 Acct</vt:lpstr>
      <vt:lpstr>141 BOA</vt:lpstr>
      <vt:lpstr>145 Treas</vt:lpstr>
      <vt:lpstr>151 Counsel</vt:lpstr>
      <vt:lpstr>155 IT</vt:lpstr>
      <vt:lpstr>159 Shared Costs</vt:lpstr>
      <vt:lpstr>161 Clerk</vt:lpstr>
      <vt:lpstr>175 Planning</vt:lpstr>
      <vt:lpstr>176 ZBA</vt:lpstr>
      <vt:lpstr>182 MEDIC</vt:lpstr>
      <vt:lpstr>190 Publ Bldg Utilities</vt:lpstr>
      <vt:lpstr>211 Police</vt:lpstr>
      <vt:lpstr>212 Dispatch</vt:lpstr>
      <vt:lpstr>241 Bldg</vt:lpstr>
      <vt:lpstr>244 Sealer</vt:lpstr>
      <vt:lpstr>291 Emergency</vt:lpstr>
      <vt:lpstr>292 Animal</vt:lpstr>
      <vt:lpstr>294 Forest Warden</vt:lpstr>
      <vt:lpstr>299 Tree Warden</vt:lpstr>
      <vt:lpstr>300 Schools</vt:lpstr>
      <vt:lpstr>420 DPW</vt:lpstr>
      <vt:lpstr>192 Public Bldgs</vt:lpstr>
      <vt:lpstr>422 Maintenance</vt:lpstr>
      <vt:lpstr>652 Parks</vt:lpstr>
      <vt:lpstr>423 Snow</vt:lpstr>
      <vt:lpstr>433 Solid Waste</vt:lpstr>
      <vt:lpstr>480 Charging Stations</vt:lpstr>
      <vt:lpstr>491 Cemetery</vt:lpstr>
      <vt:lpstr>511 BOH</vt:lpstr>
      <vt:lpstr>541 COA</vt:lpstr>
      <vt:lpstr>543 Vets</vt:lpstr>
      <vt:lpstr>610 Library</vt:lpstr>
      <vt:lpstr>630 Recreation</vt:lpstr>
      <vt:lpstr>691 Historical Comm</vt:lpstr>
      <vt:lpstr>693 Memorials</vt:lpstr>
      <vt:lpstr>700 Debt </vt:lpstr>
      <vt:lpstr>840 Intergovt</vt:lpstr>
      <vt:lpstr>910 Benefits</vt:lpstr>
      <vt:lpstr>946 Insurance</vt:lpstr>
      <vt:lpstr>Colle 228 183</vt:lpstr>
      <vt:lpstr>600 482 Airport</vt:lpstr>
      <vt:lpstr>600-700 Airport Debt</vt:lpstr>
      <vt:lpstr>600-900 Airport Benefits</vt:lpstr>
      <vt:lpstr>661 440 WPCF</vt:lpstr>
      <vt:lpstr>661 449 Hwy</vt:lpstr>
      <vt:lpstr>661 700 WPCF Debt</vt:lpstr>
      <vt:lpstr>661 910 WPCF Benefits</vt:lpstr>
      <vt:lpstr>Tax share WPCF</vt:lpstr>
      <vt:lpstr>Overhead</vt:lpstr>
      <vt:lpstr>Debt Exclusion Calc.</vt:lpstr>
      <vt:lpstr>Police Wages</vt:lpstr>
      <vt:lpstr>UE Wages</vt:lpstr>
      <vt:lpstr>NAGE &amp; Non-Union Wages</vt:lpstr>
      <vt:lpstr>Split Debt Service</vt:lpstr>
      <vt:lpstr>Combined Debt Schedule</vt:lpstr>
      <vt:lpstr>Kearsarge Lease</vt:lpstr>
      <vt:lpstr>Town Meeting Wages By Position</vt:lpstr>
      <vt:lpstr>'113 Town Mtg'!Print_Area</vt:lpstr>
      <vt:lpstr>'122 Selectboard'!Print_Area</vt:lpstr>
      <vt:lpstr>'131 Fin Comm'!Print_Area</vt:lpstr>
      <vt:lpstr>'132 Reserve Fund'!Print_Area</vt:lpstr>
      <vt:lpstr>'135 Acct'!Print_Area</vt:lpstr>
      <vt:lpstr>'141 BOA'!Print_Area</vt:lpstr>
      <vt:lpstr>'145 Treas'!Print_Area</vt:lpstr>
      <vt:lpstr>'151 Counsel'!Print_Area</vt:lpstr>
      <vt:lpstr>'155 IT'!Print_Area</vt:lpstr>
      <vt:lpstr>'159 Shared Costs'!Print_Area</vt:lpstr>
      <vt:lpstr>'161 Clerk'!Print_Area</vt:lpstr>
      <vt:lpstr>'175 Planning'!Print_Area</vt:lpstr>
      <vt:lpstr>'176 ZBA'!Print_Area</vt:lpstr>
      <vt:lpstr>'182 MEDIC'!Print_Area</vt:lpstr>
      <vt:lpstr>'190 Publ Bldg Utilities'!Print_Area</vt:lpstr>
      <vt:lpstr>'192 Public Bldgs'!Print_Area</vt:lpstr>
      <vt:lpstr>'211 Police'!Print_Area</vt:lpstr>
      <vt:lpstr>'212 Dispatch'!Print_Area</vt:lpstr>
      <vt:lpstr>'241 Bldg'!Print_Area</vt:lpstr>
      <vt:lpstr>'244 Sealer'!Print_Area</vt:lpstr>
      <vt:lpstr>'291 Emergency'!Print_Area</vt:lpstr>
      <vt:lpstr>'292 Animal'!Print_Area</vt:lpstr>
      <vt:lpstr>'294 Forest Warden'!Print_Area</vt:lpstr>
      <vt:lpstr>'299 Tree Warden'!Print_Area</vt:lpstr>
      <vt:lpstr>'300 Schools'!Print_Area</vt:lpstr>
      <vt:lpstr>'420 DPW'!Print_Area</vt:lpstr>
      <vt:lpstr>'422 Maintenance'!Print_Area</vt:lpstr>
      <vt:lpstr>'423 Snow'!Print_Area</vt:lpstr>
      <vt:lpstr>'433 Solid Waste'!Print_Area</vt:lpstr>
      <vt:lpstr>'491 Cemetery'!Print_Area</vt:lpstr>
      <vt:lpstr>'511 BOH'!Print_Area</vt:lpstr>
      <vt:lpstr>'541 COA'!Print_Area</vt:lpstr>
      <vt:lpstr>'543 Vets'!Print_Area</vt:lpstr>
      <vt:lpstr>'600 482 Airport'!Print_Area</vt:lpstr>
      <vt:lpstr>'600-700 Airport Debt'!Print_Area</vt:lpstr>
      <vt:lpstr>'610 Library'!Print_Area</vt:lpstr>
      <vt:lpstr>'630 Recreation'!Print_Area</vt:lpstr>
      <vt:lpstr>'652 Parks'!Print_Area</vt:lpstr>
      <vt:lpstr>'661 440 WPCF'!Print_Area</vt:lpstr>
      <vt:lpstr>'661 449 Hwy'!Print_Area</vt:lpstr>
      <vt:lpstr>'661 700 WPCF Debt'!Print_Area</vt:lpstr>
      <vt:lpstr>'661 910 WPCF Benefits'!Print_Area</vt:lpstr>
      <vt:lpstr>'691 Historical Comm'!Print_Area</vt:lpstr>
      <vt:lpstr>'693 Memorials'!Print_Area</vt:lpstr>
      <vt:lpstr>'700 Debt '!Print_Area</vt:lpstr>
      <vt:lpstr>'840 Intergovt'!Print_Area</vt:lpstr>
      <vt:lpstr>'910 Benefits'!Print_Area</vt:lpstr>
      <vt:lpstr>'946 Insurance'!Print_Area</vt:lpstr>
      <vt:lpstr>'Affordable Assessment'!Print_Area</vt:lpstr>
      <vt:lpstr>'Budget Summary'!Print_Area</vt:lpstr>
      <vt:lpstr>'Colle 228 183'!Print_Area</vt:lpstr>
      <vt:lpstr>'Combined Debt Schedule'!Print_Area</vt:lpstr>
      <vt:lpstr>'Est WPCF Rate Incr'!Print_Area</vt:lpstr>
      <vt:lpstr>'Financial Policy Numbers'!Print_Area</vt:lpstr>
      <vt:lpstr>'NAGE &amp; Non-Union Wages'!Print_Area</vt:lpstr>
      <vt:lpstr>'Police Wages'!Print_Area</vt:lpstr>
      <vt:lpstr>'Revenue Projections Detail'!Print_Area</vt:lpstr>
      <vt:lpstr>'Town Meeting Wages By Position'!Print_Area</vt:lpstr>
      <vt:lpstr>'Working Budget with funding det'!Print_Area</vt:lpstr>
      <vt:lpstr>'192 Public Bldgs'!Print_Titles</vt:lpstr>
      <vt:lpstr>'211 Police'!Print_Titles</vt:lpstr>
      <vt:lpstr>'292 Animal'!Print_Titles</vt:lpstr>
      <vt:lpstr>'420 DPW'!Print_Titles</vt:lpstr>
      <vt:lpstr>'422 Maintenance'!Print_Titles</vt:lpstr>
      <vt:lpstr>'661 440 WPCF'!Print_Titles</vt:lpstr>
      <vt:lpstr>'661 700 WPCF Debt'!Print_Titles</vt:lpstr>
      <vt:lpstr>'700 Debt '!Print_Titles</vt:lpstr>
      <vt:lpstr>'Combined Debt Schedule'!Print_Titles</vt:lpstr>
      <vt:lpstr>'Financial Policy Numbers'!Print_Titles</vt:lpstr>
      <vt:lpstr>'Revenue Projections Detail'!Print_Titles</vt:lpstr>
      <vt:lpstr>'Town Meeting Wages By Position'!Print_Titles</vt:lpstr>
      <vt:lpstr>'Working Budget with funding det'!Print_Titles</vt:lpstr>
    </vt:vector>
  </TitlesOfParts>
  <Company>Town Of Montague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Montague-User</dc:creator>
  <cp:lastModifiedBy>CarolynO-Montague Town Accountant</cp:lastModifiedBy>
  <cp:lastPrinted>2022-04-12T19:01:59Z</cp:lastPrinted>
  <dcterms:created xsi:type="dcterms:W3CDTF">2000-05-08T16:10:41Z</dcterms:created>
  <dcterms:modified xsi:type="dcterms:W3CDTF">2022-04-12T19:56:29Z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0x010100E7A7C068C8668B49BEE35E78F7C6470F</vt:lpwstr>
  </property>
</Properties>
</file>